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wcarbongordanocouk-my.sharepoint.com/personal/chris_stuart-bennett_lowcarbongordano_co_uk/Documents/CSB/2021/July 2021/"/>
    </mc:Choice>
  </mc:AlternateContent>
  <xr:revisionPtr revIDLastSave="10" documentId="8_{C850664F-467F-4CE9-92BE-1E726B90F695}" xr6:coauthVersionLast="47" xr6:coauthVersionMax="47" xr10:uidLastSave="{1012F898-BE0E-4BD6-B7A6-0FA8933C1633}"/>
  <bookViews>
    <workbookView xWindow="-120" yWindow="-120" windowWidth="38640" windowHeight="21390" xr2:uid="{0704667C-1266-45F5-8356-A3DB991C09D0}"/>
  </bookViews>
  <sheets>
    <sheet name="Sheet1" sheetId="1" r:id="rId1"/>
    <sheet name="Panel Calculato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39" i="1"/>
  <c r="D39" i="1" s="1"/>
  <c r="B9" i="1"/>
  <c r="B5" i="1"/>
  <c r="B4" i="1"/>
  <c r="C26" i="1"/>
  <c r="D26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W33" i="1" s="1"/>
  <c r="X33" i="1" s="1"/>
  <c r="Y33" i="1" s="1"/>
  <c r="Z33" i="1" s="1"/>
  <c r="AA33" i="1" s="1"/>
  <c r="AB33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W32" i="1" s="1"/>
  <c r="X32" i="1" s="1"/>
  <c r="Y32" i="1" s="1"/>
  <c r="Z32" i="1" s="1"/>
  <c r="AA32" i="1" s="1"/>
  <c r="AB32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W24" i="1" s="1"/>
  <c r="X24" i="1" s="1"/>
  <c r="Y24" i="1" s="1"/>
  <c r="Z24" i="1" s="1"/>
  <c r="AA24" i="1" s="1"/>
  <c r="AB24" i="1" s="1"/>
  <c r="C16" i="1"/>
  <c r="J3" i="2"/>
  <c r="J4" i="2"/>
  <c r="J5" i="2"/>
  <c r="J6" i="2"/>
  <c r="J7" i="2"/>
  <c r="J8" i="2"/>
  <c r="M8" i="2" s="1"/>
  <c r="J9" i="2"/>
  <c r="J10" i="2"/>
  <c r="M10" i="2" s="1"/>
  <c r="J11" i="2"/>
  <c r="J12" i="2"/>
  <c r="J13" i="2"/>
  <c r="J14" i="2"/>
  <c r="J15" i="2"/>
  <c r="J16" i="2"/>
  <c r="L16" i="2" s="1"/>
  <c r="J17" i="2"/>
  <c r="J2" i="2"/>
  <c r="M2" i="2" s="1"/>
  <c r="M4" i="2"/>
  <c r="M12" i="2"/>
  <c r="A3" i="2"/>
  <c r="C3" i="2"/>
  <c r="K3" i="2"/>
  <c r="A4" i="2"/>
  <c r="C4" i="2"/>
  <c r="K4" i="2"/>
  <c r="A5" i="2"/>
  <c r="C5" i="2"/>
  <c r="M5" i="2"/>
  <c r="K5" i="2"/>
  <c r="L5" i="2" s="1"/>
  <c r="A6" i="2"/>
  <c r="C6" i="2"/>
  <c r="K6" i="2"/>
  <c r="A7" i="2"/>
  <c r="C7" i="2"/>
  <c r="K7" i="2"/>
  <c r="M7" i="2" s="1"/>
  <c r="A8" i="2"/>
  <c r="C8" i="2"/>
  <c r="K8" i="2"/>
  <c r="A9" i="2"/>
  <c r="C9" i="2"/>
  <c r="K9" i="2"/>
  <c r="M9" i="2" s="1"/>
  <c r="A10" i="2"/>
  <c r="C10" i="2"/>
  <c r="K10" i="2"/>
  <c r="A11" i="2"/>
  <c r="C11" i="2"/>
  <c r="L11" i="2"/>
  <c r="K11" i="2"/>
  <c r="A12" i="2"/>
  <c r="C12" i="2"/>
  <c r="L12" i="2"/>
  <c r="K12" i="2"/>
  <c r="A13" i="2"/>
  <c r="C13" i="2"/>
  <c r="K13" i="2"/>
  <c r="A14" i="2"/>
  <c r="C14" i="2"/>
  <c r="L14" i="2" s="1"/>
  <c r="K14" i="2"/>
  <c r="A15" i="2"/>
  <c r="C15" i="2"/>
  <c r="K15" i="2"/>
  <c r="A16" i="2"/>
  <c r="C16" i="2"/>
  <c r="K16" i="2"/>
  <c r="A17" i="2"/>
  <c r="C17" i="2"/>
  <c r="K17" i="2"/>
  <c r="K2" i="2"/>
  <c r="C2" i="2"/>
  <c r="A2" i="2"/>
  <c r="E39" i="1" l="1"/>
  <c r="C22" i="1"/>
  <c r="C28" i="1" s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W28" i="1" s="1"/>
  <c r="X28" i="1" s="1"/>
  <c r="Y28" i="1" s="1"/>
  <c r="Z28" i="1" s="1"/>
  <c r="AA28" i="1" s="1"/>
  <c r="AB28" i="1" s="1"/>
  <c r="C27" i="1"/>
  <c r="E26" i="1"/>
  <c r="D27" i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W23" i="1" s="1"/>
  <c r="X23" i="1" s="1"/>
  <c r="Y23" i="1" s="1"/>
  <c r="Z23" i="1" s="1"/>
  <c r="AA23" i="1" s="1"/>
  <c r="AB23" i="1" s="1"/>
  <c r="C21" i="1"/>
  <c r="C29" i="1" s="1"/>
  <c r="D16" i="1"/>
  <c r="D17" i="1" s="1"/>
  <c r="C17" i="1"/>
  <c r="L10" i="2"/>
  <c r="L8" i="2"/>
  <c r="M17" i="2"/>
  <c r="L15" i="2"/>
  <c r="M15" i="2"/>
  <c r="L3" i="2"/>
  <c r="M3" i="2"/>
  <c r="M13" i="2"/>
  <c r="L13" i="2"/>
  <c r="M11" i="2"/>
  <c r="L2" i="2"/>
  <c r="L6" i="2"/>
  <c r="L4" i="2"/>
  <c r="L17" i="2"/>
  <c r="M16" i="2"/>
  <c r="L9" i="2"/>
  <c r="L7" i="2"/>
  <c r="M14" i="2"/>
  <c r="M6" i="2"/>
  <c r="D40" i="1" l="1"/>
  <c r="D41" i="1"/>
  <c r="C40" i="1"/>
  <c r="C41" i="1"/>
  <c r="F39" i="1"/>
  <c r="F26" i="1"/>
  <c r="E27" i="1"/>
  <c r="D25" i="1"/>
  <c r="D34" i="1"/>
  <c r="C25" i="1"/>
  <c r="C34" i="1"/>
  <c r="C18" i="1"/>
  <c r="C35" i="1" s="1"/>
  <c r="D18" i="1"/>
  <c r="D35" i="1" s="1"/>
  <c r="E16" i="1"/>
  <c r="E17" i="1" s="1"/>
  <c r="E40" i="1" l="1"/>
  <c r="E41" i="1"/>
  <c r="G39" i="1"/>
  <c r="G26" i="1"/>
  <c r="F27" i="1"/>
  <c r="C37" i="1"/>
  <c r="D37" i="1" s="1"/>
  <c r="E25" i="1"/>
  <c r="E34" i="1"/>
  <c r="F16" i="1"/>
  <c r="F17" i="1" s="1"/>
  <c r="E18" i="1"/>
  <c r="E35" i="1" s="1"/>
  <c r="F40" i="1" l="1"/>
  <c r="F41" i="1"/>
  <c r="H39" i="1"/>
  <c r="D29" i="1"/>
  <c r="E37" i="1" s="1"/>
  <c r="H26" i="1"/>
  <c r="G27" i="1"/>
  <c r="E29" i="1"/>
  <c r="F25" i="1"/>
  <c r="F34" i="1"/>
  <c r="G16" i="1"/>
  <c r="G17" i="1" s="1"/>
  <c r="F18" i="1"/>
  <c r="F35" i="1" s="1"/>
  <c r="G40" i="1" l="1"/>
  <c r="G41" i="1"/>
  <c r="I39" i="1"/>
  <c r="I26" i="1"/>
  <c r="H27" i="1"/>
  <c r="F37" i="1"/>
  <c r="F29" i="1"/>
  <c r="G25" i="1"/>
  <c r="G34" i="1"/>
  <c r="H16" i="1"/>
  <c r="H17" i="1" s="1"/>
  <c r="G18" i="1"/>
  <c r="G35" i="1" s="1"/>
  <c r="H40" i="1" l="1"/>
  <c r="H41" i="1"/>
  <c r="J39" i="1"/>
  <c r="J26" i="1"/>
  <c r="I27" i="1"/>
  <c r="G29" i="1"/>
  <c r="G37" i="1"/>
  <c r="H25" i="1"/>
  <c r="H34" i="1"/>
  <c r="I16" i="1"/>
  <c r="I17" i="1" s="1"/>
  <c r="H18" i="1"/>
  <c r="H35" i="1" s="1"/>
  <c r="I40" i="1" l="1"/>
  <c r="I41" i="1"/>
  <c r="K39" i="1"/>
  <c r="K26" i="1"/>
  <c r="J27" i="1"/>
  <c r="H37" i="1"/>
  <c r="H29" i="1"/>
  <c r="I25" i="1"/>
  <c r="I34" i="1"/>
  <c r="J16" i="1"/>
  <c r="J17" i="1" s="1"/>
  <c r="I18" i="1"/>
  <c r="I35" i="1" s="1"/>
  <c r="J40" i="1" l="1"/>
  <c r="J41" i="1"/>
  <c r="L39" i="1"/>
  <c r="L26" i="1"/>
  <c r="K27" i="1"/>
  <c r="I29" i="1"/>
  <c r="I37" i="1"/>
  <c r="J25" i="1"/>
  <c r="J34" i="1"/>
  <c r="K16" i="1"/>
  <c r="K17" i="1" s="1"/>
  <c r="J18" i="1"/>
  <c r="J35" i="1" s="1"/>
  <c r="K40" i="1" l="1"/>
  <c r="K41" i="1"/>
  <c r="M39" i="1"/>
  <c r="M26" i="1"/>
  <c r="L27" i="1"/>
  <c r="J37" i="1"/>
  <c r="J29" i="1"/>
  <c r="K25" i="1"/>
  <c r="K34" i="1"/>
  <c r="L16" i="1"/>
  <c r="L17" i="1" s="1"/>
  <c r="K18" i="1"/>
  <c r="K35" i="1" s="1"/>
  <c r="L40" i="1" l="1"/>
  <c r="L41" i="1"/>
  <c r="N39" i="1"/>
  <c r="N26" i="1"/>
  <c r="M27" i="1"/>
  <c r="K29" i="1"/>
  <c r="K37" i="1"/>
  <c r="L25" i="1"/>
  <c r="L34" i="1"/>
  <c r="M16" i="1"/>
  <c r="M17" i="1" s="1"/>
  <c r="L18" i="1"/>
  <c r="L35" i="1" s="1"/>
  <c r="M40" i="1" l="1"/>
  <c r="M41" i="1"/>
  <c r="O39" i="1"/>
  <c r="O26" i="1"/>
  <c r="N27" i="1"/>
  <c r="L37" i="1"/>
  <c r="L29" i="1"/>
  <c r="M25" i="1"/>
  <c r="M34" i="1"/>
  <c r="N16" i="1"/>
  <c r="N17" i="1" s="1"/>
  <c r="M18" i="1"/>
  <c r="M35" i="1" s="1"/>
  <c r="N40" i="1" l="1"/>
  <c r="N41" i="1"/>
  <c r="P39" i="1"/>
  <c r="P26" i="1"/>
  <c r="O27" i="1"/>
  <c r="M29" i="1"/>
  <c r="M37" i="1"/>
  <c r="N25" i="1"/>
  <c r="N34" i="1"/>
  <c r="O16" i="1"/>
  <c r="O17" i="1" s="1"/>
  <c r="N18" i="1"/>
  <c r="N35" i="1" s="1"/>
  <c r="O40" i="1" l="1"/>
  <c r="O41" i="1"/>
  <c r="Q39" i="1"/>
  <c r="Q26" i="1"/>
  <c r="P27" i="1"/>
  <c r="N37" i="1"/>
  <c r="N29" i="1"/>
  <c r="O25" i="1"/>
  <c r="O34" i="1"/>
  <c r="P16" i="1"/>
  <c r="P17" i="1" s="1"/>
  <c r="O18" i="1"/>
  <c r="O35" i="1" s="1"/>
  <c r="P40" i="1" l="1"/>
  <c r="P41" i="1"/>
  <c r="R39" i="1"/>
  <c r="O29" i="1"/>
  <c r="R26" i="1"/>
  <c r="Q27" i="1"/>
  <c r="O37" i="1"/>
  <c r="P25" i="1"/>
  <c r="P34" i="1"/>
  <c r="Q16" i="1"/>
  <c r="Q17" i="1" s="1"/>
  <c r="P18" i="1"/>
  <c r="P35" i="1" s="1"/>
  <c r="Q40" i="1" l="1"/>
  <c r="Q41" i="1"/>
  <c r="S39" i="1"/>
  <c r="S26" i="1"/>
  <c r="R27" i="1"/>
  <c r="P37" i="1"/>
  <c r="P29" i="1"/>
  <c r="Q25" i="1"/>
  <c r="Q34" i="1"/>
  <c r="R16" i="1"/>
  <c r="R17" i="1" s="1"/>
  <c r="Q18" i="1"/>
  <c r="Q35" i="1" s="1"/>
  <c r="R40" i="1" l="1"/>
  <c r="R41" i="1"/>
  <c r="T39" i="1"/>
  <c r="Q29" i="1"/>
  <c r="T26" i="1"/>
  <c r="S27" i="1"/>
  <c r="Q37" i="1"/>
  <c r="R25" i="1"/>
  <c r="R34" i="1"/>
  <c r="S16" i="1"/>
  <c r="S17" i="1" s="1"/>
  <c r="R18" i="1"/>
  <c r="R35" i="1" s="1"/>
  <c r="S40" i="1" l="1"/>
  <c r="S41" i="1"/>
  <c r="U39" i="1"/>
  <c r="U26" i="1"/>
  <c r="T27" i="1"/>
  <c r="R37" i="1"/>
  <c r="R29" i="1"/>
  <c r="S25" i="1"/>
  <c r="S34" i="1"/>
  <c r="T16" i="1"/>
  <c r="T17" i="1" s="1"/>
  <c r="S18" i="1"/>
  <c r="S35" i="1" s="1"/>
  <c r="T40" i="1" l="1"/>
  <c r="T41" i="1"/>
  <c r="W39" i="1"/>
  <c r="W26" i="1"/>
  <c r="U27" i="1"/>
  <c r="S29" i="1"/>
  <c r="S37" i="1"/>
  <c r="T25" i="1"/>
  <c r="T34" i="1"/>
  <c r="U16" i="1"/>
  <c r="U17" i="1" s="1"/>
  <c r="T18" i="1"/>
  <c r="T35" i="1" s="1"/>
  <c r="U40" i="1" l="1"/>
  <c r="U41" i="1"/>
  <c r="X39" i="1"/>
  <c r="X26" i="1"/>
  <c r="W27" i="1"/>
  <c r="T37" i="1"/>
  <c r="T29" i="1"/>
  <c r="U25" i="1"/>
  <c r="U34" i="1"/>
  <c r="W16" i="1"/>
  <c r="W17" i="1" s="1"/>
  <c r="U18" i="1"/>
  <c r="U35" i="1" s="1"/>
  <c r="W40" i="1" l="1"/>
  <c r="W41" i="1"/>
  <c r="Y39" i="1"/>
  <c r="Y26" i="1"/>
  <c r="X27" i="1"/>
  <c r="U29" i="1"/>
  <c r="U37" i="1"/>
  <c r="W25" i="1"/>
  <c r="W34" i="1"/>
  <c r="X16" i="1"/>
  <c r="X17" i="1" s="1"/>
  <c r="W18" i="1"/>
  <c r="W35" i="1" s="1"/>
  <c r="X40" i="1" l="1"/>
  <c r="X41" i="1"/>
  <c r="Z39" i="1"/>
  <c r="Z26" i="1"/>
  <c r="Y27" i="1"/>
  <c r="W37" i="1"/>
  <c r="X29" i="1" s="1"/>
  <c r="W29" i="1"/>
  <c r="X25" i="1"/>
  <c r="X34" i="1"/>
  <c r="Y16" i="1"/>
  <c r="Y17" i="1" s="1"/>
  <c r="X18" i="1"/>
  <c r="X35" i="1" s="1"/>
  <c r="Y40" i="1" l="1"/>
  <c r="Y41" i="1"/>
  <c r="AA39" i="1"/>
  <c r="AA26" i="1"/>
  <c r="Z27" i="1"/>
  <c r="X37" i="1"/>
  <c r="Y29" i="1" s="1"/>
  <c r="Y25" i="1"/>
  <c r="Y34" i="1"/>
  <c r="Z16" i="1"/>
  <c r="Z17" i="1" s="1"/>
  <c r="Y18" i="1"/>
  <c r="Y35" i="1" s="1"/>
  <c r="Z40" i="1" l="1"/>
  <c r="Z41" i="1"/>
  <c r="AB39" i="1"/>
  <c r="AB26" i="1"/>
  <c r="AB27" i="1" s="1"/>
  <c r="AA27" i="1"/>
  <c r="Y37" i="1"/>
  <c r="Z29" i="1" s="1"/>
  <c r="Z25" i="1"/>
  <c r="Z34" i="1"/>
  <c r="AA16" i="1"/>
  <c r="AA17" i="1" s="1"/>
  <c r="Z18" i="1"/>
  <c r="Z35" i="1" s="1"/>
  <c r="AA40" i="1" l="1"/>
  <c r="AA41" i="1"/>
  <c r="Z37" i="1"/>
  <c r="AA29" i="1" s="1"/>
  <c r="AA25" i="1"/>
  <c r="AA34" i="1"/>
  <c r="AB16" i="1"/>
  <c r="AB17" i="1" s="1"/>
  <c r="AA18" i="1"/>
  <c r="AA35" i="1" s="1"/>
  <c r="AB40" i="1" l="1"/>
  <c r="AB41" i="1"/>
  <c r="AA37" i="1"/>
  <c r="AB29" i="1" s="1"/>
  <c r="AB25" i="1"/>
  <c r="AB34" i="1"/>
  <c r="AB18" i="1"/>
  <c r="AB35" i="1" s="1"/>
  <c r="AB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Stuart-Bennett</author>
  </authors>
  <commentList>
    <comment ref="A16" authorId="0" shapeId="0" xr:uid="{5108203A-EA23-4EA8-9833-8463DD0AB1D9}">
      <text>
        <r>
          <rPr>
            <b/>
            <sz val="9"/>
            <color indexed="81"/>
            <rFont val="Tahoma"/>
            <family val="2"/>
          </rPr>
          <t>Chris Stuart-Bennett:</t>
        </r>
        <r>
          <rPr>
            <sz val="9"/>
            <color indexed="81"/>
            <rFont val="Tahoma"/>
            <family val="2"/>
          </rPr>
          <t xml:space="preserve">
Decreasing at 0.5% per annum</t>
        </r>
      </text>
    </comment>
    <comment ref="A23" authorId="0" shapeId="0" xr:uid="{86032370-35D5-4AED-89AE-3155ADB79C94}">
      <text>
        <r>
          <rPr>
            <b/>
            <sz val="9"/>
            <color indexed="81"/>
            <rFont val="Tahoma"/>
            <family val="2"/>
          </rPr>
          <t>Chris Stuart-Bennett:</t>
        </r>
        <r>
          <rPr>
            <sz val="9"/>
            <color indexed="81"/>
            <rFont val="Tahoma"/>
            <family val="2"/>
          </rPr>
          <t xml:space="preserve">
assumes 1 inverter replacement or other event</t>
        </r>
      </text>
    </comment>
    <comment ref="A28" authorId="0" shapeId="0" xr:uid="{D97AD9FF-AA13-4523-A9F2-F908EE3466D7}">
      <text>
        <r>
          <rPr>
            <b/>
            <sz val="9"/>
            <color indexed="81"/>
            <rFont val="Tahoma"/>
            <family val="2"/>
          </rPr>
          <t>Chris Stuart-Bennett:</t>
        </r>
        <r>
          <rPr>
            <sz val="9"/>
            <color indexed="81"/>
            <rFont val="Tahoma"/>
            <family val="2"/>
          </rPr>
          <t xml:space="preserve">
0.2% of CAPEX</t>
        </r>
      </text>
    </comment>
  </commentList>
</comments>
</file>

<file path=xl/sharedStrings.xml><?xml version="1.0" encoding="utf-8"?>
<sst xmlns="http://schemas.openxmlformats.org/spreadsheetml/2006/main" count="77" uniqueCount="56">
  <si>
    <t>Battery</t>
  </si>
  <si>
    <t>Assumptions</t>
  </si>
  <si>
    <t>Grid electricity price</t>
  </si>
  <si>
    <t>Export rate</t>
  </si>
  <si>
    <t>Self Use %</t>
  </si>
  <si>
    <t>Battery cost</t>
  </si>
  <si>
    <t>Size</t>
  </si>
  <si>
    <t>Panels</t>
  </si>
  <si>
    <t>Panel Cost</t>
  </si>
  <si>
    <t>Survey</t>
  </si>
  <si>
    <t>Battery install</t>
  </si>
  <si>
    <t>Scaffolding</t>
  </si>
  <si>
    <t>MCS/admin</t>
  </si>
  <si>
    <t>Total Solar</t>
  </si>
  <si>
    <t>Total Battery</t>
  </si>
  <si>
    <t>Total</t>
  </si>
  <si>
    <t>Incl VAT</t>
  </si>
  <si>
    <t>Installation costs</t>
  </si>
  <si>
    <t>Battery installation costs</t>
  </si>
  <si>
    <t>Legal Fees</t>
  </si>
  <si>
    <t>Year</t>
  </si>
  <si>
    <t>Generation</t>
  </si>
  <si>
    <t>Self Use</t>
  </si>
  <si>
    <t>Export</t>
  </si>
  <si>
    <t>Installation Costs</t>
  </si>
  <si>
    <t>Cost of sales</t>
  </si>
  <si>
    <t>Repairs/Replacements</t>
  </si>
  <si>
    <t>Inverter and cables</t>
  </si>
  <si>
    <t>Inverter and cabling</t>
  </si>
  <si>
    <t>Inflation</t>
  </si>
  <si>
    <t>Income from self-use</t>
  </si>
  <si>
    <t>Income from export</t>
  </si>
  <si>
    <t>Administration charges</t>
  </si>
  <si>
    <t>Admin cost per kwh</t>
  </si>
  <si>
    <t>Admin rate</t>
  </si>
  <si>
    <t>Self Use rate</t>
  </si>
  <si>
    <t>O&amp;M</t>
  </si>
  <si>
    <t>Insurance</t>
  </si>
  <si>
    <t>O&amp;M rate</t>
  </si>
  <si>
    <t>O&amp;M per kw</t>
  </si>
  <si>
    <t>of which Capex</t>
  </si>
  <si>
    <t>Cashflow</t>
  </si>
  <si>
    <t>Investor interest</t>
  </si>
  <si>
    <t>Interest rate</t>
  </si>
  <si>
    <t>Array Size (kw)</t>
  </si>
  <si>
    <t>Electricity sale price</t>
  </si>
  <si>
    <t>Annual usage (kwh)</t>
  </si>
  <si>
    <t>End user saving</t>
  </si>
  <si>
    <t>Grid price evolution</t>
  </si>
  <si>
    <t>Cost per 300w panel</t>
  </si>
  <si>
    <t>Outgoings</t>
  </si>
  <si>
    <t>Income</t>
  </si>
  <si>
    <t>End user % grid offset</t>
  </si>
  <si>
    <t>Inputs (all ex VAT)</t>
  </si>
  <si>
    <t>Annual generation per kw</t>
  </si>
  <si>
    <t>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</si>
</sst>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&quot;£&quot;* #,##0.000_-;\-&quot;£&quot;* #,##0.000_-;_-&quot;£&quot;* &quot;-&quot;??_-;_-@_-"/>
    <numFmt numFmtId="165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9" fontId="0" fillId="0" borderId="0" xfId="2" applyFont="1"/>
    <xf numFmtId="44" fontId="0" fillId="0" borderId="0" xfId="1" applyFont="1"/>
    <xf numFmtId="165" fontId="0" fillId="0" borderId="0" xfId="1" applyNumberFormat="1" applyFont="1"/>
    <xf numFmtId="165" fontId="0" fillId="0" borderId="1" xfId="1" applyNumberFormat="1" applyFont="1" applyBorder="1"/>
    <xf numFmtId="44" fontId="0" fillId="0" borderId="3" xfId="1" applyFont="1" applyBorder="1"/>
    <xf numFmtId="44" fontId="0" fillId="0" borderId="2" xfId="1" applyFont="1" applyBorder="1"/>
    <xf numFmtId="9" fontId="0" fillId="0" borderId="4" xfId="2" applyFont="1" applyBorder="1"/>
    <xf numFmtId="164" fontId="0" fillId="0" borderId="2" xfId="1" applyNumberFormat="1" applyFont="1" applyBorder="1"/>
    <xf numFmtId="0" fontId="0" fillId="0" borderId="1" xfId="0" applyBorder="1"/>
    <xf numFmtId="0" fontId="0" fillId="0" borderId="2" xfId="0" applyBorder="1"/>
    <xf numFmtId="9" fontId="0" fillId="0" borderId="1" xfId="2" applyFont="1" applyBorder="1"/>
    <xf numFmtId="0" fontId="2" fillId="0" borderId="6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1" fontId="0" fillId="0" borderId="0" xfId="0" applyNumberFormat="1" applyBorder="1"/>
    <xf numFmtId="0" fontId="2" fillId="0" borderId="8" xfId="0" applyFont="1" applyBorder="1"/>
    <xf numFmtId="0" fontId="3" fillId="0" borderId="8" xfId="0" applyFont="1" applyBorder="1"/>
    <xf numFmtId="1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44" fontId="3" fillId="0" borderId="0" xfId="0" applyNumberFormat="1" applyFont="1" applyBorder="1"/>
    <xf numFmtId="164" fontId="3" fillId="0" borderId="0" xfId="0" applyNumberFormat="1" applyFont="1" applyBorder="1"/>
    <xf numFmtId="165" fontId="0" fillId="0" borderId="0" xfId="0" applyNumberFormat="1" applyBorder="1"/>
    <xf numFmtId="44" fontId="0" fillId="0" borderId="0" xfId="0" applyNumberFormat="1" applyBorder="1"/>
    <xf numFmtId="0" fontId="2" fillId="0" borderId="10" xfId="0" applyFont="1" applyBorder="1"/>
    <xf numFmtId="9" fontId="0" fillId="0" borderId="11" xfId="2" applyFont="1" applyBorder="1"/>
    <xf numFmtId="1" fontId="0" fillId="0" borderId="6" xfId="0" applyNumberFormat="1" applyBorder="1"/>
    <xf numFmtId="1" fontId="0" fillId="0" borderId="11" xfId="0" applyNumberFormat="1" applyBorder="1"/>
    <xf numFmtId="165" fontId="0" fillId="0" borderId="6" xfId="0" applyNumberFormat="1" applyBorder="1"/>
    <xf numFmtId="165" fontId="0" fillId="0" borderId="11" xfId="0" applyNumberFormat="1" applyBorder="1"/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9" xfId="0" applyFont="1" applyBorder="1"/>
    <xf numFmtId="0" fontId="3" fillId="0" borderId="9" xfId="0" applyFont="1" applyBorder="1"/>
    <xf numFmtId="0" fontId="2" fillId="0" borderId="12" xfId="0" applyFont="1" applyBorder="1"/>
    <xf numFmtId="0" fontId="2" fillId="2" borderId="6" xfId="0" applyFont="1" applyFill="1" applyBorder="1" applyAlignment="1">
      <alignment horizontal="center"/>
    </xf>
    <xf numFmtId="0" fontId="0" fillId="2" borderId="0" xfId="0" applyFill="1" applyBorder="1"/>
    <xf numFmtId="1" fontId="0" fillId="2" borderId="6" xfId="0" applyNumberFormat="1" applyFill="1" applyBorder="1"/>
    <xf numFmtId="1" fontId="0" fillId="2" borderId="0" xfId="0" applyNumberFormat="1" applyFill="1" applyBorder="1"/>
    <xf numFmtId="1" fontId="0" fillId="2" borderId="11" xfId="0" applyNumberForma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44" fontId="3" fillId="2" borderId="0" xfId="0" applyNumberFormat="1" applyFont="1" applyFill="1" applyBorder="1"/>
    <xf numFmtId="164" fontId="3" fillId="2" borderId="0" xfId="0" applyNumberFormat="1" applyFont="1" applyFill="1" applyBorder="1"/>
    <xf numFmtId="165" fontId="0" fillId="2" borderId="6" xfId="0" applyNumberFormat="1" applyFill="1" applyBorder="1"/>
    <xf numFmtId="165" fontId="0" fillId="2" borderId="11" xfId="0" applyNumberFormat="1" applyFill="1" applyBorder="1"/>
    <xf numFmtId="165" fontId="0" fillId="2" borderId="0" xfId="0" applyNumberFormat="1" applyFill="1" applyBorder="1"/>
    <xf numFmtId="44" fontId="0" fillId="2" borderId="0" xfId="0" applyNumberFormat="1" applyFill="1" applyBorder="1"/>
    <xf numFmtId="9" fontId="0" fillId="2" borderId="11" xfId="2" applyFont="1" applyFill="1" applyBorder="1"/>
    <xf numFmtId="0" fontId="0" fillId="2" borderId="0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9" fontId="0" fillId="2" borderId="11" xfId="2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9" xfId="0" applyFill="1" applyBorder="1"/>
    <xf numFmtId="1" fontId="0" fillId="2" borderId="7" xfId="0" applyNumberFormat="1" applyFill="1" applyBorder="1"/>
    <xf numFmtId="1" fontId="0" fillId="2" borderId="9" xfId="0" applyNumberFormat="1" applyFill="1" applyBorder="1"/>
    <xf numFmtId="1" fontId="0" fillId="2" borderId="12" xfId="0" applyNumberFormat="1" applyFill="1" applyBorder="1"/>
    <xf numFmtId="2" fontId="3" fillId="2" borderId="9" xfId="0" applyNumberFormat="1" applyFont="1" applyFill="1" applyBorder="1"/>
    <xf numFmtId="2" fontId="0" fillId="2" borderId="9" xfId="0" applyNumberFormat="1" applyFill="1" applyBorder="1"/>
    <xf numFmtId="44" fontId="3" fillId="2" borderId="9" xfId="0" applyNumberFormat="1" applyFont="1" applyFill="1" applyBorder="1"/>
    <xf numFmtId="164" fontId="3" fillId="2" borderId="9" xfId="0" applyNumberFormat="1" applyFont="1" applyFill="1" applyBorder="1"/>
    <xf numFmtId="165" fontId="0" fillId="2" borderId="7" xfId="0" applyNumberFormat="1" applyFill="1" applyBorder="1"/>
    <xf numFmtId="165" fontId="0" fillId="2" borderId="12" xfId="0" applyNumberFormat="1" applyFill="1" applyBorder="1"/>
    <xf numFmtId="165" fontId="0" fillId="2" borderId="9" xfId="0" applyNumberFormat="1" applyFill="1" applyBorder="1"/>
    <xf numFmtId="44" fontId="0" fillId="2" borderId="9" xfId="0" applyNumberFormat="1" applyFill="1" applyBorder="1"/>
    <xf numFmtId="9" fontId="0" fillId="2" borderId="12" xfId="2" applyFont="1" applyFill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theme="9"/>
      </font>
    </dxf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A775-E0CB-4BF3-B1F3-E25886B2E1FE}">
  <dimension ref="A1:AB41"/>
  <sheetViews>
    <sheetView tabSelected="1" workbookViewId="0">
      <selection activeCell="X7" sqref="X7"/>
    </sheetView>
  </sheetViews>
  <sheetFormatPr defaultRowHeight="15" x14ac:dyDescent="0.25"/>
  <cols>
    <col min="1" max="1" width="23.140625" bestFit="1" customWidth="1"/>
    <col min="2" max="7" width="8.7109375" customWidth="1"/>
    <col min="8" max="21" width="8.7109375" hidden="1" customWidth="1"/>
    <col min="22" max="26" width="8.7109375" customWidth="1"/>
  </cols>
  <sheetData>
    <row r="1" spans="1:28" ht="15.75" thickBot="1" x14ac:dyDescent="0.3">
      <c r="A1" s="1" t="s">
        <v>53</v>
      </c>
      <c r="B1" s="1"/>
      <c r="C1" s="1"/>
      <c r="D1" s="1" t="s">
        <v>1</v>
      </c>
    </row>
    <row r="2" spans="1:28" ht="15.75" thickBot="1" x14ac:dyDescent="0.3">
      <c r="A2" t="s">
        <v>44</v>
      </c>
      <c r="B2" s="10">
        <v>2.7</v>
      </c>
      <c r="D2" t="s">
        <v>2</v>
      </c>
      <c r="G2" s="7">
        <v>0.2</v>
      </c>
    </row>
    <row r="3" spans="1:28" ht="15.75" thickBot="1" x14ac:dyDescent="0.3">
      <c r="A3" t="s">
        <v>49</v>
      </c>
      <c r="B3" s="5">
        <v>50</v>
      </c>
      <c r="D3" t="s">
        <v>45</v>
      </c>
      <c r="G3" s="6">
        <v>0.12</v>
      </c>
    </row>
    <row r="4" spans="1:28" ht="15.75" thickBot="1" x14ac:dyDescent="0.3">
      <c r="A4" t="s">
        <v>28</v>
      </c>
      <c r="B4" s="4">
        <f>1167</f>
        <v>1167</v>
      </c>
      <c r="D4" t="s">
        <v>46</v>
      </c>
      <c r="G4">
        <v>3650</v>
      </c>
    </row>
    <row r="5" spans="1:28" ht="15.75" thickBot="1" x14ac:dyDescent="0.3">
      <c r="A5" t="s">
        <v>17</v>
      </c>
      <c r="B5" s="4">
        <f>850</f>
        <v>850</v>
      </c>
      <c r="D5" t="s">
        <v>4</v>
      </c>
      <c r="G5" s="8">
        <v>0.35</v>
      </c>
    </row>
    <row r="6" spans="1:28" ht="15.75" thickBot="1" x14ac:dyDescent="0.3">
      <c r="A6" t="s">
        <v>5</v>
      </c>
      <c r="B6" s="5">
        <v>0</v>
      </c>
      <c r="D6" t="s">
        <v>3</v>
      </c>
      <c r="G6" s="9">
        <v>0.05</v>
      </c>
    </row>
    <row r="7" spans="1:28" ht="15.75" thickBot="1" x14ac:dyDescent="0.3">
      <c r="A7" t="s">
        <v>18</v>
      </c>
      <c r="B7" s="5">
        <v>0</v>
      </c>
      <c r="D7" t="s">
        <v>54</v>
      </c>
      <c r="G7" s="11">
        <v>900</v>
      </c>
    </row>
    <row r="8" spans="1:28" x14ac:dyDescent="0.25">
      <c r="A8" t="s">
        <v>25</v>
      </c>
      <c r="B8" s="4">
        <v>100</v>
      </c>
      <c r="D8" t="s">
        <v>29</v>
      </c>
      <c r="G8" s="2">
        <v>0.02</v>
      </c>
    </row>
    <row r="9" spans="1:28" x14ac:dyDescent="0.25">
      <c r="A9" t="s">
        <v>19</v>
      </c>
      <c r="B9" s="4">
        <f>150</f>
        <v>150</v>
      </c>
      <c r="D9" t="s">
        <v>33</v>
      </c>
      <c r="G9" s="3">
        <v>0.02</v>
      </c>
    </row>
    <row r="10" spans="1:28" ht="15.75" thickBot="1" x14ac:dyDescent="0.3">
      <c r="D10" t="s">
        <v>39</v>
      </c>
      <c r="G10" s="3">
        <v>10</v>
      </c>
    </row>
    <row r="11" spans="1:28" ht="15.75" thickBot="1" x14ac:dyDescent="0.3">
      <c r="D11" t="s">
        <v>43</v>
      </c>
      <c r="G11" s="12">
        <v>0.04</v>
      </c>
    </row>
    <row r="13" spans="1:28" ht="15.75" thickBot="1" x14ac:dyDescent="0.3"/>
    <row r="14" spans="1:28" x14ac:dyDescent="0.25">
      <c r="A14" s="85" t="s">
        <v>20</v>
      </c>
      <c r="B14" s="86"/>
      <c r="C14" s="13">
        <v>1</v>
      </c>
      <c r="D14" s="42">
        <v>2</v>
      </c>
      <c r="E14" s="13">
        <v>3</v>
      </c>
      <c r="F14" s="42">
        <v>4</v>
      </c>
      <c r="G14" s="13">
        <v>5</v>
      </c>
      <c r="H14" s="13">
        <v>6</v>
      </c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13">
        <v>14</v>
      </c>
      <c r="Q14" s="13">
        <v>15</v>
      </c>
      <c r="R14" s="13">
        <v>16</v>
      </c>
      <c r="S14" s="13">
        <v>17</v>
      </c>
      <c r="T14" s="13">
        <v>18</v>
      </c>
      <c r="U14" s="13">
        <v>19</v>
      </c>
      <c r="V14" s="42" t="s">
        <v>55</v>
      </c>
      <c r="W14" s="13">
        <v>20</v>
      </c>
      <c r="X14" s="42">
        <v>21</v>
      </c>
      <c r="Y14" s="13">
        <v>22</v>
      </c>
      <c r="Z14" s="42">
        <v>23</v>
      </c>
      <c r="AA14" s="13">
        <v>24</v>
      </c>
      <c r="AB14" s="69">
        <v>25</v>
      </c>
    </row>
    <row r="15" spans="1:28" ht="15.75" thickBot="1" x14ac:dyDescent="0.3">
      <c r="A15" s="14"/>
      <c r="B15" s="16"/>
      <c r="C15" s="15"/>
      <c r="D15" s="43"/>
      <c r="E15" s="15"/>
      <c r="F15" s="4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6"/>
      <c r="W15" s="15"/>
      <c r="X15" s="43"/>
      <c r="Y15" s="15"/>
      <c r="Z15" s="43"/>
      <c r="AA15" s="15"/>
      <c r="AB15" s="70"/>
    </row>
    <row r="16" spans="1:28" x14ac:dyDescent="0.25">
      <c r="A16" s="87" t="s">
        <v>21</v>
      </c>
      <c r="B16" s="88"/>
      <c r="C16" s="29">
        <f>B2*G7</f>
        <v>2430</v>
      </c>
      <c r="D16" s="44">
        <f>C16*0.995</f>
        <v>2417.85</v>
      </c>
      <c r="E16" s="29">
        <f t="shared" ref="E16:AB16" si="0">D16*0.995</f>
        <v>2405.7607499999999</v>
      </c>
      <c r="F16" s="44">
        <f t="shared" si="0"/>
        <v>2393.73194625</v>
      </c>
      <c r="G16" s="29">
        <f t="shared" si="0"/>
        <v>2381.7632865187497</v>
      </c>
      <c r="H16" s="29">
        <f t="shared" si="0"/>
        <v>2369.8544700861562</v>
      </c>
      <c r="I16" s="29">
        <f t="shared" si="0"/>
        <v>2358.0051977357252</v>
      </c>
      <c r="J16" s="29">
        <f t="shared" si="0"/>
        <v>2346.2151717470465</v>
      </c>
      <c r="K16" s="29">
        <f t="shared" si="0"/>
        <v>2334.4840958883115</v>
      </c>
      <c r="L16" s="29">
        <f t="shared" si="0"/>
        <v>2322.8116754088701</v>
      </c>
      <c r="M16" s="29">
        <f t="shared" si="0"/>
        <v>2311.1976170318258</v>
      </c>
      <c r="N16" s="29">
        <f t="shared" si="0"/>
        <v>2299.6416289466665</v>
      </c>
      <c r="O16" s="29">
        <f t="shared" si="0"/>
        <v>2288.1434208019332</v>
      </c>
      <c r="P16" s="29">
        <f t="shared" si="0"/>
        <v>2276.7027036979234</v>
      </c>
      <c r="Q16" s="29">
        <f t="shared" si="0"/>
        <v>2265.3191901794339</v>
      </c>
      <c r="R16" s="29">
        <f t="shared" si="0"/>
        <v>2253.9925942285367</v>
      </c>
      <c r="S16" s="29">
        <f t="shared" si="0"/>
        <v>2242.7226312573939</v>
      </c>
      <c r="T16" s="29">
        <f t="shared" si="0"/>
        <v>2231.5090181011069</v>
      </c>
      <c r="U16" s="29">
        <f t="shared" si="0"/>
        <v>2220.3514730106012</v>
      </c>
      <c r="V16" s="57" t="s">
        <v>55</v>
      </c>
      <c r="W16" s="29">
        <f>U16*0.995</f>
        <v>2209.2497156455483</v>
      </c>
      <c r="X16" s="44">
        <f t="shared" si="0"/>
        <v>2198.2034670673206</v>
      </c>
      <c r="Y16" s="29">
        <f t="shared" si="0"/>
        <v>2187.2124497319842</v>
      </c>
      <c r="Z16" s="44">
        <f t="shared" si="0"/>
        <v>2176.2763874833245</v>
      </c>
      <c r="AA16" s="29">
        <f t="shared" si="0"/>
        <v>2165.3950055459077</v>
      </c>
      <c r="AB16" s="71">
        <f t="shared" si="0"/>
        <v>2154.5680305181781</v>
      </c>
    </row>
    <row r="17" spans="1:28" x14ac:dyDescent="0.25">
      <c r="A17" s="83" t="s">
        <v>22</v>
      </c>
      <c r="B17" s="84"/>
      <c r="C17" s="17">
        <f t="shared" ref="C17:U17" si="1">C16*$G5</f>
        <v>850.5</v>
      </c>
      <c r="D17" s="45">
        <f t="shared" si="1"/>
        <v>846.24749999999995</v>
      </c>
      <c r="E17" s="17">
        <f t="shared" si="1"/>
        <v>842.01626249999993</v>
      </c>
      <c r="F17" s="45">
        <f t="shared" si="1"/>
        <v>837.80618118749999</v>
      </c>
      <c r="G17" s="17">
        <f t="shared" si="1"/>
        <v>833.61715028156232</v>
      </c>
      <c r="H17" s="17">
        <f t="shared" si="1"/>
        <v>829.4490645301546</v>
      </c>
      <c r="I17" s="17">
        <f t="shared" si="1"/>
        <v>825.30181920750374</v>
      </c>
      <c r="J17" s="17">
        <f t="shared" si="1"/>
        <v>821.17531011146627</v>
      </c>
      <c r="K17" s="17">
        <f t="shared" si="1"/>
        <v>817.06943356090892</v>
      </c>
      <c r="L17" s="17">
        <f t="shared" si="1"/>
        <v>812.98408639310446</v>
      </c>
      <c r="M17" s="17">
        <f t="shared" si="1"/>
        <v>808.91916596113902</v>
      </c>
      <c r="N17" s="17">
        <f t="shared" si="1"/>
        <v>804.87457013133326</v>
      </c>
      <c r="O17" s="17">
        <f t="shared" si="1"/>
        <v>800.85019728067653</v>
      </c>
      <c r="P17" s="17">
        <f t="shared" si="1"/>
        <v>796.84594629427318</v>
      </c>
      <c r="Q17" s="17">
        <f t="shared" si="1"/>
        <v>792.8617165628018</v>
      </c>
      <c r="R17" s="17">
        <f t="shared" si="1"/>
        <v>788.89740797998786</v>
      </c>
      <c r="S17" s="17">
        <f t="shared" si="1"/>
        <v>784.95292094008778</v>
      </c>
      <c r="T17" s="17">
        <f t="shared" si="1"/>
        <v>781.02815633538739</v>
      </c>
      <c r="U17" s="17">
        <f t="shared" si="1"/>
        <v>777.12301555371039</v>
      </c>
      <c r="V17" s="58" t="s">
        <v>55</v>
      </c>
      <c r="W17" s="17">
        <f t="shared" ref="W17:AB17" si="2">W16*$G5</f>
        <v>773.23740047594185</v>
      </c>
      <c r="X17" s="45">
        <f t="shared" si="2"/>
        <v>769.37121347356219</v>
      </c>
      <c r="Y17" s="17">
        <f t="shared" si="2"/>
        <v>765.52435740619444</v>
      </c>
      <c r="Z17" s="45">
        <f t="shared" si="2"/>
        <v>761.69673561916352</v>
      </c>
      <c r="AA17" s="17">
        <f t="shared" si="2"/>
        <v>757.88825194106767</v>
      </c>
      <c r="AB17" s="72">
        <f t="shared" si="2"/>
        <v>754.09881068136235</v>
      </c>
    </row>
    <row r="18" spans="1:28" ht="15.75" thickBot="1" x14ac:dyDescent="0.3">
      <c r="A18" s="89" t="s">
        <v>23</v>
      </c>
      <c r="B18" s="90"/>
      <c r="C18" s="30">
        <f>C16-C17</f>
        <v>1579.5</v>
      </c>
      <c r="D18" s="46">
        <f t="shared" ref="D18:AB18" si="3">D16-D17</f>
        <v>1571.6025</v>
      </c>
      <c r="E18" s="30">
        <f t="shared" si="3"/>
        <v>1563.7444875000001</v>
      </c>
      <c r="F18" s="46">
        <f t="shared" si="3"/>
        <v>1555.9257650625</v>
      </c>
      <c r="G18" s="30">
        <f t="shared" si="3"/>
        <v>1548.1461362371874</v>
      </c>
      <c r="H18" s="30">
        <f t="shared" si="3"/>
        <v>1540.4054055560016</v>
      </c>
      <c r="I18" s="30">
        <f t="shared" si="3"/>
        <v>1532.7033785282215</v>
      </c>
      <c r="J18" s="30">
        <f t="shared" si="3"/>
        <v>1525.0398616355801</v>
      </c>
      <c r="K18" s="30">
        <f t="shared" si="3"/>
        <v>1517.4146623274025</v>
      </c>
      <c r="L18" s="30">
        <f t="shared" si="3"/>
        <v>1509.8275890157656</v>
      </c>
      <c r="M18" s="30">
        <f t="shared" si="3"/>
        <v>1502.2784510706867</v>
      </c>
      <c r="N18" s="30">
        <f t="shared" si="3"/>
        <v>1494.7670588153333</v>
      </c>
      <c r="O18" s="30">
        <f t="shared" si="3"/>
        <v>1487.2932235212566</v>
      </c>
      <c r="P18" s="30">
        <f t="shared" si="3"/>
        <v>1479.8567574036501</v>
      </c>
      <c r="Q18" s="30">
        <f t="shared" si="3"/>
        <v>1472.4574736166321</v>
      </c>
      <c r="R18" s="30">
        <f t="shared" si="3"/>
        <v>1465.095186248549</v>
      </c>
      <c r="S18" s="30">
        <f t="shared" si="3"/>
        <v>1457.7697103173061</v>
      </c>
      <c r="T18" s="30">
        <f t="shared" si="3"/>
        <v>1450.4808617657195</v>
      </c>
      <c r="U18" s="30">
        <f t="shared" si="3"/>
        <v>1443.2284574568907</v>
      </c>
      <c r="V18" s="59" t="s">
        <v>55</v>
      </c>
      <c r="W18" s="30">
        <f t="shared" si="3"/>
        <v>1436.0123151696066</v>
      </c>
      <c r="X18" s="46">
        <f t="shared" si="3"/>
        <v>1428.8322535937584</v>
      </c>
      <c r="Y18" s="30">
        <f t="shared" si="3"/>
        <v>1421.6880923257897</v>
      </c>
      <c r="Z18" s="46">
        <f t="shared" si="3"/>
        <v>1414.579651864161</v>
      </c>
      <c r="AA18" s="30">
        <f t="shared" si="3"/>
        <v>1407.50675360484</v>
      </c>
      <c r="AB18" s="73">
        <f t="shared" si="3"/>
        <v>1400.4692198368157</v>
      </c>
    </row>
    <row r="19" spans="1:28" x14ac:dyDescent="0.25">
      <c r="A19" s="33"/>
      <c r="B19" s="36"/>
      <c r="C19" s="15"/>
      <c r="D19" s="43"/>
      <c r="E19" s="15"/>
      <c r="F19" s="4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56"/>
      <c r="W19" s="15"/>
      <c r="X19" s="43"/>
      <c r="Y19" s="15"/>
      <c r="Z19" s="43"/>
      <c r="AA19" s="15"/>
      <c r="AB19" s="70"/>
    </row>
    <row r="20" spans="1:28" ht="15.75" thickBot="1" x14ac:dyDescent="0.3">
      <c r="A20" s="34" t="s">
        <v>50</v>
      </c>
      <c r="B20" s="37"/>
      <c r="C20" s="15"/>
      <c r="D20" s="43"/>
      <c r="E20" s="15"/>
      <c r="F20" s="4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56"/>
      <c r="W20" s="15"/>
      <c r="X20" s="43"/>
      <c r="Y20" s="15"/>
      <c r="Z20" s="43"/>
      <c r="AA20" s="15"/>
      <c r="AB20" s="70"/>
    </row>
    <row r="21" spans="1:28" ht="15.75" hidden="1" thickBot="1" x14ac:dyDescent="0.3">
      <c r="A21" s="33" t="s">
        <v>24</v>
      </c>
      <c r="B21" s="36"/>
      <c r="C21" s="17">
        <f>SUM((B2/0.3)*B3)+B4+B5+B6+B7+B8+B9</f>
        <v>2717</v>
      </c>
      <c r="D21" s="43"/>
      <c r="E21" s="15"/>
      <c r="F21" s="4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56" t="s">
        <v>55</v>
      </c>
      <c r="W21" s="15"/>
      <c r="X21" s="43"/>
      <c r="Y21" s="15"/>
      <c r="Z21" s="43"/>
      <c r="AA21" s="15"/>
      <c r="AB21" s="70"/>
    </row>
    <row r="22" spans="1:28" ht="15.75" hidden="1" thickBot="1" x14ac:dyDescent="0.3">
      <c r="A22" s="35" t="s">
        <v>40</v>
      </c>
      <c r="B22" s="38"/>
      <c r="C22" s="20">
        <f>(B2*B3)+B4+B5+B6+B7</f>
        <v>2152</v>
      </c>
      <c r="D22" s="43"/>
      <c r="E22" s="15"/>
      <c r="F22" s="4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6" t="s">
        <v>55</v>
      </c>
      <c r="W22" s="15"/>
      <c r="X22" s="43"/>
      <c r="Y22" s="15"/>
      <c r="Z22" s="43"/>
      <c r="AA22" s="15"/>
      <c r="AB22" s="70"/>
    </row>
    <row r="23" spans="1:28" x14ac:dyDescent="0.25">
      <c r="A23" s="87" t="s">
        <v>26</v>
      </c>
      <c r="B23" s="88"/>
      <c r="C23" s="29">
        <f>(($B$4/25)+($B$6/12.5))</f>
        <v>46.68</v>
      </c>
      <c r="D23" s="44">
        <f t="shared" ref="D23:U23" si="4">C23*(1+$G8)</f>
        <v>47.613599999999998</v>
      </c>
      <c r="E23" s="29">
        <f t="shared" si="4"/>
        <v>48.565871999999999</v>
      </c>
      <c r="F23" s="44">
        <f t="shared" si="4"/>
        <v>49.537189439999999</v>
      </c>
      <c r="G23" s="29">
        <f t="shared" si="4"/>
        <v>50.527933228800002</v>
      </c>
      <c r="H23" s="29">
        <f t="shared" si="4"/>
        <v>51.538491893376005</v>
      </c>
      <c r="I23" s="29">
        <f t="shared" si="4"/>
        <v>52.569261731243529</v>
      </c>
      <c r="J23" s="29">
        <f t="shared" si="4"/>
        <v>53.620646965868403</v>
      </c>
      <c r="K23" s="29">
        <f t="shared" si="4"/>
        <v>54.69305990518577</v>
      </c>
      <c r="L23" s="29">
        <f t="shared" si="4"/>
        <v>55.786921103289487</v>
      </c>
      <c r="M23" s="29">
        <f t="shared" si="4"/>
        <v>56.902659525355276</v>
      </c>
      <c r="N23" s="29">
        <f t="shared" si="4"/>
        <v>58.040712715862384</v>
      </c>
      <c r="O23" s="29">
        <f t="shared" si="4"/>
        <v>59.201526970179636</v>
      </c>
      <c r="P23" s="29">
        <f t="shared" si="4"/>
        <v>60.385557509583229</v>
      </c>
      <c r="Q23" s="29">
        <f t="shared" si="4"/>
        <v>61.593268659774893</v>
      </c>
      <c r="R23" s="29">
        <f t="shared" si="4"/>
        <v>62.825134032970389</v>
      </c>
      <c r="S23" s="29">
        <f t="shared" si="4"/>
        <v>64.081636713629791</v>
      </c>
      <c r="T23" s="29">
        <f t="shared" si="4"/>
        <v>65.363269447902383</v>
      </c>
      <c r="U23" s="29">
        <f t="shared" si="4"/>
        <v>66.670534836860426</v>
      </c>
      <c r="V23" s="57" t="s">
        <v>55</v>
      </c>
      <c r="W23" s="29">
        <f>U23*(1+$G8)</f>
        <v>68.00394553359763</v>
      </c>
      <c r="X23" s="44">
        <f>W23*(1+$G8)</f>
        <v>69.364024444269589</v>
      </c>
      <c r="Y23" s="29">
        <f>X23*(1+$G8)</f>
        <v>70.751304933154984</v>
      </c>
      <c r="Z23" s="44">
        <f>Y23*(1+$G8)</f>
        <v>72.166331031818089</v>
      </c>
      <c r="AA23" s="29">
        <f>Z23*(1+$G8)</f>
        <v>73.609657652454459</v>
      </c>
      <c r="AB23" s="71">
        <f>AA23*(1+$G8)</f>
        <v>75.081850805503549</v>
      </c>
    </row>
    <row r="24" spans="1:28" hidden="1" x14ac:dyDescent="0.25">
      <c r="A24" s="35" t="s">
        <v>34</v>
      </c>
      <c r="B24" s="38"/>
      <c r="C24" s="21">
        <f>G9</f>
        <v>0.02</v>
      </c>
      <c r="D24" s="47">
        <f t="shared" ref="D24:U24" si="5">C24*(1+$G8)</f>
        <v>2.0400000000000001E-2</v>
      </c>
      <c r="E24" s="21">
        <f t="shared" si="5"/>
        <v>2.0808000000000004E-2</v>
      </c>
      <c r="F24" s="47">
        <f t="shared" si="5"/>
        <v>2.1224160000000002E-2</v>
      </c>
      <c r="G24" s="21">
        <f t="shared" si="5"/>
        <v>2.1648643200000001E-2</v>
      </c>
      <c r="H24" s="21">
        <f t="shared" si="5"/>
        <v>2.2081616064000002E-2</v>
      </c>
      <c r="I24" s="21">
        <f t="shared" si="5"/>
        <v>2.2523248385280002E-2</v>
      </c>
      <c r="J24" s="21">
        <f t="shared" si="5"/>
        <v>2.2973713352985602E-2</v>
      </c>
      <c r="K24" s="21">
        <f t="shared" si="5"/>
        <v>2.3433187620045315E-2</v>
      </c>
      <c r="L24" s="21">
        <f t="shared" si="5"/>
        <v>2.3901851372446221E-2</v>
      </c>
      <c r="M24" s="21">
        <f t="shared" si="5"/>
        <v>2.4379888399895147E-2</v>
      </c>
      <c r="N24" s="21">
        <f t="shared" si="5"/>
        <v>2.4867486167893051E-2</v>
      </c>
      <c r="O24" s="21">
        <f t="shared" si="5"/>
        <v>2.5364835891250912E-2</v>
      </c>
      <c r="P24" s="21">
        <f t="shared" si="5"/>
        <v>2.5872132609075931E-2</v>
      </c>
      <c r="Q24" s="21">
        <f t="shared" si="5"/>
        <v>2.6389575261257452E-2</v>
      </c>
      <c r="R24" s="21">
        <f t="shared" si="5"/>
        <v>2.6917366766482601E-2</v>
      </c>
      <c r="S24" s="21">
        <f t="shared" si="5"/>
        <v>2.7455714101812252E-2</v>
      </c>
      <c r="T24" s="21">
        <f t="shared" si="5"/>
        <v>2.8004828383848497E-2</v>
      </c>
      <c r="U24" s="21">
        <f t="shared" si="5"/>
        <v>2.8564924951525468E-2</v>
      </c>
      <c r="V24" s="60" t="s">
        <v>55</v>
      </c>
      <c r="W24" s="21">
        <f>U24*(1+$G8)</f>
        <v>2.9136223450555977E-2</v>
      </c>
      <c r="X24" s="47">
        <f>W24*(1+$G8)</f>
        <v>2.9718947919567099E-2</v>
      </c>
      <c r="Y24" s="21">
        <f>X24*(1+$G8)</f>
        <v>3.031332687795844E-2</v>
      </c>
      <c r="Z24" s="47">
        <f>Y24*(1+$G8)</f>
        <v>3.0919593415517609E-2</v>
      </c>
      <c r="AA24" s="21">
        <f>Z24*(1+$G8)</f>
        <v>3.1537985283827959E-2</v>
      </c>
      <c r="AB24" s="74">
        <f>AA24*(1+$G8)</f>
        <v>3.2168744989504519E-2</v>
      </c>
    </row>
    <row r="25" spans="1:28" x14ac:dyDescent="0.25">
      <c r="A25" s="83" t="s">
        <v>32</v>
      </c>
      <c r="B25" s="84"/>
      <c r="C25" s="22">
        <f>C17*C24</f>
        <v>17.010000000000002</v>
      </c>
      <c r="D25" s="48">
        <f t="shared" ref="D25:AB25" si="6">D17*D24</f>
        <v>17.263449000000001</v>
      </c>
      <c r="E25" s="22">
        <f t="shared" si="6"/>
        <v>17.520674390100002</v>
      </c>
      <c r="F25" s="48">
        <f t="shared" si="6"/>
        <v>17.781732438512492</v>
      </c>
      <c r="G25" s="22">
        <f t="shared" si="6"/>
        <v>18.046680251846322</v>
      </c>
      <c r="H25" s="22">
        <f t="shared" si="6"/>
        <v>18.315575787598835</v>
      </c>
      <c r="I25" s="22">
        <f t="shared" si="6"/>
        <v>18.588477866834058</v>
      </c>
      <c r="J25" s="22">
        <f t="shared" si="6"/>
        <v>18.865446187049887</v>
      </c>
      <c r="K25" s="22">
        <f t="shared" si="6"/>
        <v>19.146541335236929</v>
      </c>
      <c r="L25" s="22">
        <f t="shared" si="6"/>
        <v>19.43182480113196</v>
      </c>
      <c r="M25" s="22">
        <f t="shared" si="6"/>
        <v>19.721358990668829</v>
      </c>
      <c r="N25" s="22">
        <f t="shared" si="6"/>
        <v>20.015207239629795</v>
      </c>
      <c r="O25" s="22">
        <f t="shared" si="6"/>
        <v>20.313433827500276</v>
      </c>
      <c r="P25" s="22">
        <f t="shared" si="6"/>
        <v>20.616103991530032</v>
      </c>
      <c r="Q25" s="22">
        <f t="shared" si="6"/>
        <v>20.923283941003831</v>
      </c>
      <c r="R25" s="22">
        <f t="shared" si="6"/>
        <v>21.235040871724792</v>
      </c>
      <c r="S25" s="22">
        <f t="shared" si="6"/>
        <v>21.551442980713485</v>
      </c>
      <c r="T25" s="22">
        <f t="shared" si="6"/>
        <v>21.872559481126117</v>
      </c>
      <c r="U25" s="22">
        <f t="shared" si="6"/>
        <v>22.198460617394897</v>
      </c>
      <c r="V25" s="61" t="s">
        <v>55</v>
      </c>
      <c r="W25" s="22">
        <f t="shared" si="6"/>
        <v>22.52921768059408</v>
      </c>
      <c r="X25" s="48">
        <f t="shared" si="6"/>
        <v>22.864903024034934</v>
      </c>
      <c r="Y25" s="22">
        <f t="shared" si="6"/>
        <v>23.205590079093056</v>
      </c>
      <c r="Z25" s="48">
        <f t="shared" si="6"/>
        <v>23.551353371271546</v>
      </c>
      <c r="AA25" s="22">
        <f t="shared" si="6"/>
        <v>23.902268536503488</v>
      </c>
      <c r="AB25" s="75">
        <f t="shared" si="6"/>
        <v>24.258412337697393</v>
      </c>
    </row>
    <row r="26" spans="1:28" hidden="1" x14ac:dyDescent="0.25">
      <c r="A26" s="35" t="s">
        <v>38</v>
      </c>
      <c r="B26" s="38"/>
      <c r="C26" s="21">
        <f>G10</f>
        <v>10</v>
      </c>
      <c r="D26" s="47">
        <f t="shared" ref="D26:U26" si="7">C26*(1+$G8)</f>
        <v>10.199999999999999</v>
      </c>
      <c r="E26" s="21">
        <f t="shared" si="7"/>
        <v>10.404</v>
      </c>
      <c r="F26" s="47">
        <f t="shared" si="7"/>
        <v>10.612080000000001</v>
      </c>
      <c r="G26" s="21">
        <f t="shared" si="7"/>
        <v>10.824321600000001</v>
      </c>
      <c r="H26" s="21">
        <f t="shared" si="7"/>
        <v>11.040808032000001</v>
      </c>
      <c r="I26" s="21">
        <f t="shared" si="7"/>
        <v>11.261624192640001</v>
      </c>
      <c r="J26" s="21">
        <f t="shared" si="7"/>
        <v>11.486856676492801</v>
      </c>
      <c r="K26" s="21">
        <f t="shared" si="7"/>
        <v>11.716593810022657</v>
      </c>
      <c r="L26" s="21">
        <f t="shared" si="7"/>
        <v>11.95092568622311</v>
      </c>
      <c r="M26" s="21">
        <f t="shared" si="7"/>
        <v>12.189944199947572</v>
      </c>
      <c r="N26" s="21">
        <f t="shared" si="7"/>
        <v>12.433743083946524</v>
      </c>
      <c r="O26" s="21">
        <f t="shared" si="7"/>
        <v>12.682417945625454</v>
      </c>
      <c r="P26" s="21">
        <f t="shared" si="7"/>
        <v>12.936066304537963</v>
      </c>
      <c r="Q26" s="21">
        <f t="shared" si="7"/>
        <v>13.194787630628722</v>
      </c>
      <c r="R26" s="21">
        <f t="shared" si="7"/>
        <v>13.458683383241297</v>
      </c>
      <c r="S26" s="21">
        <f t="shared" si="7"/>
        <v>13.727857050906124</v>
      </c>
      <c r="T26" s="21">
        <f t="shared" si="7"/>
        <v>14.002414191924247</v>
      </c>
      <c r="U26" s="21">
        <f t="shared" si="7"/>
        <v>14.282462475762733</v>
      </c>
      <c r="V26" s="60" t="s">
        <v>55</v>
      </c>
      <c r="W26" s="21">
        <f>U26*(1+$G8)</f>
        <v>14.568111725277987</v>
      </c>
      <c r="X26" s="47">
        <f>W26*(1+$G8)</f>
        <v>14.859473959783546</v>
      </c>
      <c r="Y26" s="21">
        <f>X26*(1+$G8)</f>
        <v>15.156663438979217</v>
      </c>
      <c r="Z26" s="47">
        <f>Y26*(1+$G8)</f>
        <v>15.459796707758802</v>
      </c>
      <c r="AA26" s="21">
        <f>Z26*(1+$G8)</f>
        <v>15.768992641913979</v>
      </c>
      <c r="AB26" s="74">
        <f>AA26*(1+$G8)</f>
        <v>16.084372494752259</v>
      </c>
    </row>
    <row r="27" spans="1:28" x14ac:dyDescent="0.25">
      <c r="A27" s="83" t="s">
        <v>36</v>
      </c>
      <c r="B27" s="84"/>
      <c r="C27" s="22">
        <f>$B2*C26</f>
        <v>27</v>
      </c>
      <c r="D27" s="48">
        <f t="shared" ref="D27:AB27" si="8">$B2*D26</f>
        <v>27.54</v>
      </c>
      <c r="E27" s="22">
        <f t="shared" si="8"/>
        <v>28.090800000000002</v>
      </c>
      <c r="F27" s="48">
        <f t="shared" si="8"/>
        <v>28.652616000000002</v>
      </c>
      <c r="G27" s="22">
        <f t="shared" si="8"/>
        <v>29.225668320000004</v>
      </c>
      <c r="H27" s="22">
        <f t="shared" si="8"/>
        <v>29.810181686400004</v>
      </c>
      <c r="I27" s="22">
        <f t="shared" si="8"/>
        <v>30.406385320128006</v>
      </c>
      <c r="J27" s="22">
        <f t="shared" si="8"/>
        <v>31.014513026530565</v>
      </c>
      <c r="K27" s="22">
        <f t="shared" si="8"/>
        <v>31.634803287061175</v>
      </c>
      <c r="L27" s="22">
        <f t="shared" si="8"/>
        <v>32.267499352802396</v>
      </c>
      <c r="M27" s="22">
        <f t="shared" si="8"/>
        <v>32.912849339858447</v>
      </c>
      <c r="N27" s="22">
        <f t="shared" si="8"/>
        <v>33.571106326655617</v>
      </c>
      <c r="O27" s="22">
        <f t="shared" si="8"/>
        <v>34.242528453188726</v>
      </c>
      <c r="P27" s="22">
        <f t="shared" si="8"/>
        <v>34.927379022252502</v>
      </c>
      <c r="Q27" s="22">
        <f t="shared" si="8"/>
        <v>35.625926602697554</v>
      </c>
      <c r="R27" s="22">
        <f t="shared" si="8"/>
        <v>36.338445134751503</v>
      </c>
      <c r="S27" s="22">
        <f t="shared" si="8"/>
        <v>37.065214037446538</v>
      </c>
      <c r="T27" s="22">
        <f t="shared" si="8"/>
        <v>37.806518318195472</v>
      </c>
      <c r="U27" s="22">
        <f t="shared" si="8"/>
        <v>38.562648684559385</v>
      </c>
      <c r="V27" s="61" t="s">
        <v>55</v>
      </c>
      <c r="W27" s="22">
        <f t="shared" si="8"/>
        <v>39.333901658250568</v>
      </c>
      <c r="X27" s="48">
        <f t="shared" si="8"/>
        <v>40.120579691415578</v>
      </c>
      <c r="Y27" s="22">
        <f t="shared" si="8"/>
        <v>40.922991285243889</v>
      </c>
      <c r="Z27" s="48">
        <f t="shared" si="8"/>
        <v>41.741451110948766</v>
      </c>
      <c r="AA27" s="22">
        <f t="shared" si="8"/>
        <v>42.576280133167742</v>
      </c>
      <c r="AB27" s="75">
        <f t="shared" si="8"/>
        <v>43.4278057358311</v>
      </c>
    </row>
    <row r="28" spans="1:28" x14ac:dyDescent="0.25">
      <c r="A28" s="83" t="s">
        <v>37</v>
      </c>
      <c r="B28" s="84"/>
      <c r="C28" s="22">
        <f>C22*0.002</f>
        <v>4.3040000000000003</v>
      </c>
      <c r="D28" s="48">
        <f t="shared" ref="D28:U28" si="9">C28*(1+$G8)</f>
        <v>4.3900800000000002</v>
      </c>
      <c r="E28" s="22">
        <f t="shared" si="9"/>
        <v>4.4778815999999999</v>
      </c>
      <c r="F28" s="48">
        <f t="shared" si="9"/>
        <v>4.5674392319999999</v>
      </c>
      <c r="G28" s="22">
        <f t="shared" si="9"/>
        <v>4.65878801664</v>
      </c>
      <c r="H28" s="22">
        <f t="shared" si="9"/>
        <v>4.7519637769727998</v>
      </c>
      <c r="I28" s="22">
        <f t="shared" si="9"/>
        <v>4.8470030525122558</v>
      </c>
      <c r="J28" s="22">
        <f t="shared" si="9"/>
        <v>4.9439431135625007</v>
      </c>
      <c r="K28" s="22">
        <f t="shared" si="9"/>
        <v>5.0428219758337507</v>
      </c>
      <c r="L28" s="22">
        <f t="shared" si="9"/>
        <v>5.1436784153504256</v>
      </c>
      <c r="M28" s="22">
        <f t="shared" si="9"/>
        <v>5.2465519836574339</v>
      </c>
      <c r="N28" s="22">
        <f t="shared" si="9"/>
        <v>5.3514830233305828</v>
      </c>
      <c r="O28" s="22">
        <f t="shared" si="9"/>
        <v>5.4585126837971947</v>
      </c>
      <c r="P28" s="22">
        <f t="shared" si="9"/>
        <v>5.5676829374731387</v>
      </c>
      <c r="Q28" s="22">
        <f t="shared" si="9"/>
        <v>5.6790365962226019</v>
      </c>
      <c r="R28" s="22">
        <f t="shared" si="9"/>
        <v>5.7926173281470543</v>
      </c>
      <c r="S28" s="22">
        <f t="shared" si="9"/>
        <v>5.9084696747099956</v>
      </c>
      <c r="T28" s="22">
        <f t="shared" si="9"/>
        <v>6.0266390682041955</v>
      </c>
      <c r="U28" s="22">
        <f t="shared" si="9"/>
        <v>6.1471718495682799</v>
      </c>
      <c r="V28" s="61" t="s">
        <v>55</v>
      </c>
      <c r="W28" s="22">
        <f>U28*(1+$G8)</f>
        <v>6.2701152865596459</v>
      </c>
      <c r="X28" s="48">
        <f>W28*(1+$G8)</f>
        <v>6.3955175922908385</v>
      </c>
      <c r="Y28" s="22">
        <f>X28*(1+$G8)</f>
        <v>6.5234279441366549</v>
      </c>
      <c r="Z28" s="48">
        <f>Y28*(1+$G8)</f>
        <v>6.6538965030193884</v>
      </c>
      <c r="AA28" s="22">
        <f>Z28*(1+$G8)</f>
        <v>6.7869744330797763</v>
      </c>
      <c r="AB28" s="75">
        <f>AA28*(1+$G8)</f>
        <v>6.922713921741372</v>
      </c>
    </row>
    <row r="29" spans="1:28" ht="15.75" thickBot="1" x14ac:dyDescent="0.3">
      <c r="A29" s="89" t="s">
        <v>42</v>
      </c>
      <c r="B29" s="90"/>
      <c r="C29" s="30">
        <f>C21*G11</f>
        <v>108.68</v>
      </c>
      <c r="D29" s="46">
        <f t="shared" ref="D29:U29" si="10">C37*$G11</f>
        <v>109.58556</v>
      </c>
      <c r="E29" s="30">
        <f t="shared" si="10"/>
        <v>109.76214829999999</v>
      </c>
      <c r="F29" s="46">
        <f t="shared" si="10"/>
        <v>109.92550643638999</v>
      </c>
      <c r="G29" s="30">
        <f t="shared" si="10"/>
        <v>110.0459924889866</v>
      </c>
      <c r="H29" s="30">
        <f t="shared" si="10"/>
        <v>110.12259207740478</v>
      </c>
      <c r="I29" s="30">
        <f t="shared" si="10"/>
        <v>110.15310309269863</v>
      </c>
      <c r="J29" s="30">
        <f t="shared" si="10"/>
        <v>110.13528087192894</v>
      </c>
      <c r="K29" s="30">
        <f t="shared" si="10"/>
        <v>110.06679076515458</v>
      </c>
      <c r="L29" s="30">
        <f t="shared" si="10"/>
        <v>109.94520651265346</v>
      </c>
      <c r="M29" s="30">
        <f t="shared" si="10"/>
        <v>109.76800672816039</v>
      </c>
      <c r="N29" s="30">
        <f t="shared" si="10"/>
        <v>109.53257132062409</v>
      </c>
      <c r="O29" s="30">
        <f t="shared" si="10"/>
        <v>109.23617777881887</v>
      </c>
      <c r="P29" s="30">
        <f t="shared" si="10"/>
        <v>108.87599731644924</v>
      </c>
      <c r="Q29" s="30">
        <f t="shared" si="10"/>
        <v>108.44909087236134</v>
      </c>
      <c r="R29" s="30">
        <f t="shared" si="10"/>
        <v>107.95240496038285</v>
      </c>
      <c r="S29" s="30">
        <f t="shared" si="10"/>
        <v>107.38276736310067</v>
      </c>
      <c r="T29" s="30">
        <f t="shared" si="10"/>
        <v>106.73688266366777</v>
      </c>
      <c r="U29" s="30">
        <f t="shared" si="10"/>
        <v>106.01132760950726</v>
      </c>
      <c r="V29" s="59" t="s">
        <v>55</v>
      </c>
      <c r="W29" s="30">
        <f>U37*$G11</f>
        <v>105.20254630154648</v>
      </c>
      <c r="X29" s="46">
        <f>IF(W37*$G11&lt;0,0,W37*$G11)</f>
        <v>104.30684520237219</v>
      </c>
      <c r="Y29" s="30">
        <f>IF(X37*$G11&lt;0,0,X37*$G11)</f>
        <v>103.32038795644576</v>
      </c>
      <c r="Z29" s="46">
        <f>IF(Y37*$G11&lt;0,0,Y37*$G11)</f>
        <v>102.23919001525559</v>
      </c>
      <c r="AA29" s="30">
        <f>IF(Z37*$G11&lt;0,0,Z37*$G11)</f>
        <v>101.05911306001254</v>
      </c>
      <c r="AB29" s="73">
        <f>IF(AA37*$G11&lt;0,0,AA37*$G11)</f>
        <v>99.775859214212204</v>
      </c>
    </row>
    <row r="30" spans="1:28" x14ac:dyDescent="0.25">
      <c r="A30" s="33"/>
      <c r="B30" s="36"/>
      <c r="C30" s="15"/>
      <c r="D30" s="43"/>
      <c r="E30" s="15"/>
      <c r="F30" s="4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56"/>
      <c r="W30" s="15"/>
      <c r="X30" s="43"/>
      <c r="Y30" s="15"/>
      <c r="Z30" s="43"/>
      <c r="AA30" s="15"/>
      <c r="AB30" s="70"/>
    </row>
    <row r="31" spans="1:28" ht="15.75" thickBot="1" x14ac:dyDescent="0.3">
      <c r="A31" s="34" t="s">
        <v>51</v>
      </c>
      <c r="B31" s="37"/>
      <c r="C31" s="15"/>
      <c r="D31" s="43"/>
      <c r="E31" s="15"/>
      <c r="F31" s="4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56"/>
      <c r="W31" s="15"/>
      <c r="X31" s="43"/>
      <c r="Y31" s="15"/>
      <c r="Z31" s="43"/>
      <c r="AA31" s="15"/>
      <c r="AB31" s="70"/>
    </row>
    <row r="32" spans="1:28" ht="15.75" hidden="1" thickBot="1" x14ac:dyDescent="0.3">
      <c r="A32" s="35" t="s">
        <v>35</v>
      </c>
      <c r="B32" s="38"/>
      <c r="C32" s="23">
        <f>G3</f>
        <v>0.12</v>
      </c>
      <c r="D32" s="49">
        <f t="shared" ref="D32:U32" si="11">C32*(1+$G8)</f>
        <v>0.12239999999999999</v>
      </c>
      <c r="E32" s="23">
        <f t="shared" si="11"/>
        <v>0.124848</v>
      </c>
      <c r="F32" s="49">
        <f t="shared" si="11"/>
        <v>0.12734496000000001</v>
      </c>
      <c r="G32" s="23">
        <f t="shared" si="11"/>
        <v>0.12989185920000001</v>
      </c>
      <c r="H32" s="23">
        <f t="shared" si="11"/>
        <v>0.13248969638400002</v>
      </c>
      <c r="I32" s="23">
        <f t="shared" si="11"/>
        <v>0.13513949031168002</v>
      </c>
      <c r="J32" s="23">
        <f t="shared" si="11"/>
        <v>0.13784228011791361</v>
      </c>
      <c r="K32" s="23">
        <f t="shared" si="11"/>
        <v>0.14059912572027189</v>
      </c>
      <c r="L32" s="23">
        <f t="shared" si="11"/>
        <v>0.14341110823467734</v>
      </c>
      <c r="M32" s="23">
        <f t="shared" si="11"/>
        <v>0.14627933039937088</v>
      </c>
      <c r="N32" s="23">
        <f t="shared" si="11"/>
        <v>0.1492049170073583</v>
      </c>
      <c r="O32" s="23">
        <f t="shared" si="11"/>
        <v>0.15218901534750548</v>
      </c>
      <c r="P32" s="23">
        <f t="shared" si="11"/>
        <v>0.15523279565445558</v>
      </c>
      <c r="Q32" s="23">
        <f t="shared" si="11"/>
        <v>0.1583374515675447</v>
      </c>
      <c r="R32" s="23">
        <f t="shared" si="11"/>
        <v>0.16150420059889559</v>
      </c>
      <c r="S32" s="23">
        <f t="shared" si="11"/>
        <v>0.1647342846108735</v>
      </c>
      <c r="T32" s="23">
        <f t="shared" si="11"/>
        <v>0.16802897030309097</v>
      </c>
      <c r="U32" s="23">
        <f t="shared" si="11"/>
        <v>0.17138954970915279</v>
      </c>
      <c r="V32" s="62" t="s">
        <v>55</v>
      </c>
      <c r="W32" s="23">
        <f>U32*(1+$G8)</f>
        <v>0.17481734070333585</v>
      </c>
      <c r="X32" s="49">
        <f t="shared" ref="X32:AB33" si="12">W32*(1+$G8)</f>
        <v>0.17831368751740256</v>
      </c>
      <c r="Y32" s="23">
        <f t="shared" si="12"/>
        <v>0.18187996126775061</v>
      </c>
      <c r="Z32" s="49">
        <f t="shared" si="12"/>
        <v>0.18551756049310561</v>
      </c>
      <c r="AA32" s="23">
        <f t="shared" si="12"/>
        <v>0.18922791170296774</v>
      </c>
      <c r="AB32" s="76">
        <f t="shared" si="12"/>
        <v>0.19301246993702709</v>
      </c>
    </row>
    <row r="33" spans="1:28" ht="15.75" hidden="1" thickBot="1" x14ac:dyDescent="0.3">
      <c r="A33" s="35" t="s">
        <v>3</v>
      </c>
      <c r="B33" s="38"/>
      <c r="C33" s="24">
        <f>G6</f>
        <v>0.05</v>
      </c>
      <c r="D33" s="50">
        <f t="shared" ref="D33:U33" si="13">C33*(1+$G9)</f>
        <v>5.1000000000000004E-2</v>
      </c>
      <c r="E33" s="24">
        <f t="shared" si="13"/>
        <v>5.2020000000000004E-2</v>
      </c>
      <c r="F33" s="50">
        <f t="shared" si="13"/>
        <v>5.3060400000000008E-2</v>
      </c>
      <c r="G33" s="24">
        <f t="shared" si="13"/>
        <v>5.4121608000000009E-2</v>
      </c>
      <c r="H33" s="24">
        <f t="shared" si="13"/>
        <v>5.5204040160000009E-2</v>
      </c>
      <c r="I33" s="24">
        <f t="shared" si="13"/>
        <v>5.6308120963200009E-2</v>
      </c>
      <c r="J33" s="24">
        <f t="shared" si="13"/>
        <v>5.7434283382464008E-2</v>
      </c>
      <c r="K33" s="24">
        <f t="shared" si="13"/>
        <v>5.8582969050113287E-2</v>
      </c>
      <c r="L33" s="24">
        <f t="shared" si="13"/>
        <v>5.9754628431115557E-2</v>
      </c>
      <c r="M33" s="24">
        <f t="shared" si="13"/>
        <v>6.0949720999737868E-2</v>
      </c>
      <c r="N33" s="24">
        <f t="shared" si="13"/>
        <v>6.2168715419732623E-2</v>
      </c>
      <c r="O33" s="24">
        <f t="shared" si="13"/>
        <v>6.3412089728127272E-2</v>
      </c>
      <c r="P33" s="24">
        <f t="shared" si="13"/>
        <v>6.4680331522689816E-2</v>
      </c>
      <c r="Q33" s="24">
        <f t="shared" si="13"/>
        <v>6.5973938153143619E-2</v>
      </c>
      <c r="R33" s="24">
        <f t="shared" si="13"/>
        <v>6.7293416916206494E-2</v>
      </c>
      <c r="S33" s="24">
        <f t="shared" si="13"/>
        <v>6.8639285254530627E-2</v>
      </c>
      <c r="T33" s="24">
        <f t="shared" si="13"/>
        <v>7.0012070959621239E-2</v>
      </c>
      <c r="U33" s="24">
        <f t="shared" si="13"/>
        <v>7.1412312378813667E-2</v>
      </c>
      <c r="V33" s="63" t="s">
        <v>55</v>
      </c>
      <c r="W33" s="24">
        <f>U33*(1+$G9)</f>
        <v>7.284055862638994E-2</v>
      </c>
      <c r="X33" s="50">
        <f t="shared" si="12"/>
        <v>7.429736979891774E-2</v>
      </c>
      <c r="Y33" s="24">
        <f t="shared" si="12"/>
        <v>7.5783317194896102E-2</v>
      </c>
      <c r="Z33" s="50">
        <f t="shared" si="12"/>
        <v>7.7298983538794025E-2</v>
      </c>
      <c r="AA33" s="24">
        <f t="shared" si="12"/>
        <v>7.8844963209569907E-2</v>
      </c>
      <c r="AB33" s="77">
        <f t="shared" si="12"/>
        <v>8.0421862473761305E-2</v>
      </c>
    </row>
    <row r="34" spans="1:28" x14ac:dyDescent="0.25">
      <c r="A34" s="87" t="s">
        <v>30</v>
      </c>
      <c r="B34" s="88"/>
      <c r="C34" s="31">
        <f>C17*C32</f>
        <v>102.06</v>
      </c>
      <c r="D34" s="51">
        <f t="shared" ref="D34:AB34" si="14">D17*D32</f>
        <v>103.58069399999999</v>
      </c>
      <c r="E34" s="31">
        <f t="shared" si="14"/>
        <v>105.12404634059999</v>
      </c>
      <c r="F34" s="51">
        <f t="shared" si="14"/>
        <v>106.69039463107494</v>
      </c>
      <c r="G34" s="31">
        <f t="shared" si="14"/>
        <v>108.28008151107794</v>
      </c>
      <c r="H34" s="31">
        <f t="shared" si="14"/>
        <v>109.89345472559302</v>
      </c>
      <c r="I34" s="31">
        <f t="shared" si="14"/>
        <v>111.53086720100434</v>
      </c>
      <c r="J34" s="31">
        <f t="shared" si="14"/>
        <v>113.1926771222993</v>
      </c>
      <c r="K34" s="31">
        <f t="shared" si="14"/>
        <v>114.87924801142157</v>
      </c>
      <c r="L34" s="31">
        <f t="shared" si="14"/>
        <v>116.59094880679179</v>
      </c>
      <c r="M34" s="31">
        <f t="shared" si="14"/>
        <v>118.32815394401298</v>
      </c>
      <c r="N34" s="31">
        <f t="shared" si="14"/>
        <v>120.09124343777877</v>
      </c>
      <c r="O34" s="31">
        <f t="shared" si="14"/>
        <v>121.88060296500167</v>
      </c>
      <c r="P34" s="31">
        <f t="shared" si="14"/>
        <v>123.69662394918019</v>
      </c>
      <c r="Q34" s="31">
        <f t="shared" si="14"/>
        <v>125.53970364602299</v>
      </c>
      <c r="R34" s="31">
        <f t="shared" si="14"/>
        <v>127.41024523034874</v>
      </c>
      <c r="S34" s="31">
        <f t="shared" si="14"/>
        <v>129.3086578842809</v>
      </c>
      <c r="T34" s="31">
        <f t="shared" si="14"/>
        <v>131.2353568867567</v>
      </c>
      <c r="U34" s="31">
        <f t="shared" si="14"/>
        <v>133.19076370436937</v>
      </c>
      <c r="V34" s="64" t="s">
        <v>55</v>
      </c>
      <c r="W34" s="31">
        <f t="shared" si="14"/>
        <v>135.17530608356446</v>
      </c>
      <c r="X34" s="51">
        <f t="shared" si="14"/>
        <v>137.18941814420958</v>
      </c>
      <c r="Y34" s="31">
        <f t="shared" si="14"/>
        <v>139.23354047455831</v>
      </c>
      <c r="Z34" s="51">
        <f t="shared" si="14"/>
        <v>141.30812022762925</v>
      </c>
      <c r="AA34" s="31">
        <f t="shared" si="14"/>
        <v>143.41361121902091</v>
      </c>
      <c r="AB34" s="78">
        <f t="shared" si="14"/>
        <v>145.55047402618433</v>
      </c>
    </row>
    <row r="35" spans="1:28" ht="15.75" thickBot="1" x14ac:dyDescent="0.3">
      <c r="A35" s="89" t="s">
        <v>31</v>
      </c>
      <c r="B35" s="90"/>
      <c r="C35" s="32">
        <f>C18*C33</f>
        <v>78.975000000000009</v>
      </c>
      <c r="D35" s="52">
        <f t="shared" ref="D35:AB35" si="15">D18*D33</f>
        <v>80.151727500000007</v>
      </c>
      <c r="E35" s="32">
        <f t="shared" si="15"/>
        <v>81.345988239750014</v>
      </c>
      <c r="F35" s="52">
        <f t="shared" si="15"/>
        <v>82.558043464522285</v>
      </c>
      <c r="G35" s="32">
        <f t="shared" si="15"/>
        <v>83.788158312143665</v>
      </c>
      <c r="H35" s="32">
        <f t="shared" si="15"/>
        <v>85.036601870994616</v>
      </c>
      <c r="I35" s="32">
        <f t="shared" si="15"/>
        <v>86.303647238872429</v>
      </c>
      <c r="J35" s="32">
        <f t="shared" si="15"/>
        <v>87.589571582731608</v>
      </c>
      <c r="K35" s="32">
        <f t="shared" si="15"/>
        <v>88.894656199314326</v>
      </c>
      <c r="L35" s="32">
        <f t="shared" si="15"/>
        <v>90.219186576684123</v>
      </c>
      <c r="M35" s="32">
        <f t="shared" si="15"/>
        <v>91.563452456676714</v>
      </c>
      <c r="N35" s="32">
        <f t="shared" si="15"/>
        <v>92.927747898281183</v>
      </c>
      <c r="O35" s="32">
        <f t="shared" si="15"/>
        <v>94.312371341965573</v>
      </c>
      <c r="P35" s="32">
        <f t="shared" si="15"/>
        <v>95.717625674960843</v>
      </c>
      <c r="Q35" s="32">
        <f t="shared" si="15"/>
        <v>97.143818297517782</v>
      </c>
      <c r="R35" s="32">
        <f t="shared" si="15"/>
        <v>98.591261190150817</v>
      </c>
      <c r="S35" s="32">
        <f t="shared" si="15"/>
        <v>100.06027098188406</v>
      </c>
      <c r="T35" s="32">
        <f t="shared" si="15"/>
        <v>101.55116901951412</v>
      </c>
      <c r="U35" s="32">
        <f t="shared" si="15"/>
        <v>103.06428143790487</v>
      </c>
      <c r="V35" s="65" t="s">
        <v>55</v>
      </c>
      <c r="W35" s="32">
        <f t="shared" si="15"/>
        <v>104.59993923132967</v>
      </c>
      <c r="X35" s="52">
        <f t="shared" si="15"/>
        <v>106.15847832587647</v>
      </c>
      <c r="Y35" s="32">
        <f t="shared" si="15"/>
        <v>107.74023965293206</v>
      </c>
      <c r="Z35" s="52">
        <f t="shared" si="15"/>
        <v>109.34556922376076</v>
      </c>
      <c r="AA35" s="32">
        <f t="shared" si="15"/>
        <v>110.97481820519479</v>
      </c>
      <c r="AB35" s="79">
        <f t="shared" si="15"/>
        <v>112.62834299645218</v>
      </c>
    </row>
    <row r="36" spans="1:28" x14ac:dyDescent="0.25">
      <c r="A36" s="14"/>
      <c r="B36" s="16"/>
      <c r="C36" s="15"/>
      <c r="D36" s="43"/>
      <c r="E36" s="15"/>
      <c r="F36" s="4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56"/>
      <c r="W36" s="15"/>
      <c r="X36" s="43"/>
      <c r="Y36" s="15"/>
      <c r="Z36" s="43"/>
      <c r="AA36" s="15"/>
      <c r="AB36" s="70"/>
    </row>
    <row r="37" spans="1:28" x14ac:dyDescent="0.25">
      <c r="A37" s="18" t="s">
        <v>41</v>
      </c>
      <c r="B37" s="39"/>
      <c r="C37" s="25">
        <f>C21+C23+C25+C27+C28+C29-C34-C35</f>
        <v>2739.6390000000001</v>
      </c>
      <c r="D37" s="53">
        <f>C37+D23+D25+D26+D28+C29-D34-D35</f>
        <v>2744.0537074999997</v>
      </c>
      <c r="E37" s="25">
        <f t="shared" ref="E37:AB37" si="16">D37+E23+E25+E26+E28+D29-E34-E35</f>
        <v>2748.1376609097497</v>
      </c>
      <c r="F37" s="53">
        <f t="shared" si="16"/>
        <v>2751.1498122246649</v>
      </c>
      <c r="G37" s="25">
        <f t="shared" si="16"/>
        <v>2753.0648019351192</v>
      </c>
      <c r="H37" s="25">
        <f t="shared" si="16"/>
        <v>2753.8275773174655</v>
      </c>
      <c r="I37" s="25">
        <f t="shared" si="16"/>
        <v>2753.3820217982234</v>
      </c>
      <c r="J37" s="25">
        <f t="shared" si="16"/>
        <v>2751.6697691288646</v>
      </c>
      <c r="K37" s="25">
        <f t="shared" si="16"/>
        <v>2748.6301628163365</v>
      </c>
      <c r="L37" s="25">
        <f t="shared" si="16"/>
        <v>2744.2001682040095</v>
      </c>
      <c r="M37" s="25">
        <f t="shared" si="16"/>
        <v>2738.3142830156021</v>
      </c>
      <c r="N37" s="25">
        <f t="shared" si="16"/>
        <v>2730.9044444704718</v>
      </c>
      <c r="O37" s="25">
        <f t="shared" si="16"/>
        <v>2721.8999329112312</v>
      </c>
      <c r="P37" s="25">
        <f t="shared" si="16"/>
        <v>2711.2272718090335</v>
      </c>
      <c r="Q37" s="25">
        <f t="shared" si="16"/>
        <v>2698.8101240095712</v>
      </c>
      <c r="R37" s="25">
        <f t="shared" si="16"/>
        <v>2684.5691840775166</v>
      </c>
      <c r="S37" s="25">
        <f t="shared" si="16"/>
        <v>2668.4220665916941</v>
      </c>
      <c r="T37" s="25">
        <f t="shared" si="16"/>
        <v>2650.2831902376815</v>
      </c>
      <c r="U37" s="25">
        <f t="shared" si="16"/>
        <v>2630.063657538662</v>
      </c>
      <c r="V37" s="66" t="s">
        <v>55</v>
      </c>
      <c r="W37" s="25">
        <f>U37+W23+W25+W26+W28+U29-W34-W35</f>
        <v>2607.6711300593047</v>
      </c>
      <c r="X37" s="53">
        <f t="shared" si="16"/>
        <v>2583.0096989111439</v>
      </c>
      <c r="Y37" s="25">
        <f t="shared" si="16"/>
        <v>2555.9797503813897</v>
      </c>
      <c r="Z37" s="53">
        <f t="shared" si="16"/>
        <v>2526.4778265003133</v>
      </c>
      <c r="AA37" s="25">
        <f t="shared" si="16"/>
        <v>2494.3964803553049</v>
      </c>
      <c r="AB37" s="80">
        <f t="shared" si="16"/>
        <v>2459.6241259523749</v>
      </c>
    </row>
    <row r="38" spans="1:28" x14ac:dyDescent="0.25">
      <c r="A38" s="14"/>
      <c r="B38" s="16"/>
      <c r="C38" s="15"/>
      <c r="D38" s="43"/>
      <c r="E38" s="15"/>
      <c r="F38" s="4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56"/>
      <c r="W38" s="15"/>
      <c r="X38" s="43"/>
      <c r="Y38" s="15"/>
      <c r="Z38" s="43"/>
      <c r="AA38" s="15"/>
      <c r="AB38" s="70"/>
    </row>
    <row r="39" spans="1:28" hidden="1" x14ac:dyDescent="0.25">
      <c r="A39" s="19" t="s">
        <v>48</v>
      </c>
      <c r="B39" s="40"/>
      <c r="C39" s="23">
        <f>G2</f>
        <v>0.2</v>
      </c>
      <c r="D39" s="49">
        <f t="shared" ref="D39:U39" si="17">C39*(1+$G8)</f>
        <v>0.20400000000000001</v>
      </c>
      <c r="E39" s="23">
        <f t="shared" si="17"/>
        <v>0.20808000000000001</v>
      </c>
      <c r="F39" s="49">
        <f t="shared" si="17"/>
        <v>0.21224160000000003</v>
      </c>
      <c r="G39" s="23">
        <f t="shared" si="17"/>
        <v>0.21648643200000003</v>
      </c>
      <c r="H39" s="23">
        <f t="shared" si="17"/>
        <v>0.22081616064000004</v>
      </c>
      <c r="I39" s="23">
        <f t="shared" si="17"/>
        <v>0.22523248385280004</v>
      </c>
      <c r="J39" s="23">
        <f t="shared" si="17"/>
        <v>0.22973713352985603</v>
      </c>
      <c r="K39" s="23">
        <f t="shared" si="17"/>
        <v>0.23433187620045315</v>
      </c>
      <c r="L39" s="23">
        <f t="shared" si="17"/>
        <v>0.23901851372446223</v>
      </c>
      <c r="M39" s="23">
        <f t="shared" si="17"/>
        <v>0.24379888399895147</v>
      </c>
      <c r="N39" s="23">
        <f t="shared" si="17"/>
        <v>0.24867486167893049</v>
      </c>
      <c r="O39" s="23">
        <f t="shared" si="17"/>
        <v>0.25364835891250909</v>
      </c>
      <c r="P39" s="23">
        <f t="shared" si="17"/>
        <v>0.25872132609075926</v>
      </c>
      <c r="Q39" s="23">
        <f t="shared" si="17"/>
        <v>0.26389575261257447</v>
      </c>
      <c r="R39" s="23">
        <f t="shared" si="17"/>
        <v>0.26917366766482598</v>
      </c>
      <c r="S39" s="23">
        <f t="shared" si="17"/>
        <v>0.27455714101812251</v>
      </c>
      <c r="T39" s="23">
        <f t="shared" si="17"/>
        <v>0.28004828383848496</v>
      </c>
      <c r="U39" s="23">
        <f t="shared" si="17"/>
        <v>0.28564924951525467</v>
      </c>
      <c r="V39" s="62" t="s">
        <v>55</v>
      </c>
      <c r="W39" s="23">
        <f>U39*(1+$G8)</f>
        <v>0.29136223450555976</v>
      </c>
      <c r="X39" s="49">
        <f>W39*(1+$G8)</f>
        <v>0.29718947919567096</v>
      </c>
      <c r="Y39" s="23">
        <f>X39*(1+$G8)</f>
        <v>0.30313326877958441</v>
      </c>
      <c r="Z39" s="49">
        <f>Y39*(1+$G8)</f>
        <v>0.3091959341551761</v>
      </c>
      <c r="AA39" s="23">
        <f>Z39*(1+$G8)</f>
        <v>0.31537985283827963</v>
      </c>
      <c r="AB39" s="76">
        <f>AA39*(1+$G8)</f>
        <v>0.32168744989504522</v>
      </c>
    </row>
    <row r="40" spans="1:28" x14ac:dyDescent="0.25">
      <c r="A40" s="18" t="s">
        <v>47</v>
      </c>
      <c r="B40" s="39"/>
      <c r="C40" s="26">
        <f>C17*(C39-C32)</f>
        <v>68.040000000000006</v>
      </c>
      <c r="D40" s="54">
        <f t="shared" ref="D40:AB40" si="18">D17*(D39-D32)</f>
        <v>69.053796000000006</v>
      </c>
      <c r="E40" s="26">
        <f t="shared" si="18"/>
        <v>70.082697560400007</v>
      </c>
      <c r="F40" s="54">
        <f t="shared" si="18"/>
        <v>71.126929754049982</v>
      </c>
      <c r="G40" s="26">
        <f t="shared" si="18"/>
        <v>72.186721007385302</v>
      </c>
      <c r="H40" s="26">
        <f t="shared" si="18"/>
        <v>73.262303150395354</v>
      </c>
      <c r="I40" s="26">
        <f t="shared" si="18"/>
        <v>74.353911467336232</v>
      </c>
      <c r="J40" s="26">
        <f t="shared" si="18"/>
        <v>75.461784748199548</v>
      </c>
      <c r="K40" s="26">
        <f t="shared" si="18"/>
        <v>76.586165340947716</v>
      </c>
      <c r="L40" s="26">
        <f t="shared" si="18"/>
        <v>77.727299204527839</v>
      </c>
      <c r="M40" s="26">
        <f t="shared" si="18"/>
        <v>78.885435962675317</v>
      </c>
      <c r="N40" s="26">
        <f t="shared" si="18"/>
        <v>80.060828958519167</v>
      </c>
      <c r="O40" s="26">
        <f t="shared" si="18"/>
        <v>81.253735310001076</v>
      </c>
      <c r="P40" s="26">
        <f t="shared" si="18"/>
        <v>82.4644159661201</v>
      </c>
      <c r="Q40" s="26">
        <f t="shared" si="18"/>
        <v>83.69313576401531</v>
      </c>
      <c r="R40" s="26">
        <f t="shared" si="18"/>
        <v>84.940163486899152</v>
      </c>
      <c r="S40" s="26">
        <f t="shared" si="18"/>
        <v>86.205771922853941</v>
      </c>
      <c r="T40" s="26">
        <f t="shared" si="18"/>
        <v>87.49023792450447</v>
      </c>
      <c r="U40" s="26">
        <f t="shared" si="18"/>
        <v>88.793842469579587</v>
      </c>
      <c r="V40" s="67" t="s">
        <v>55</v>
      </c>
      <c r="W40" s="26">
        <f t="shared" si="18"/>
        <v>90.116870722376319</v>
      </c>
      <c r="X40" s="54">
        <f t="shared" si="18"/>
        <v>91.459612096139736</v>
      </c>
      <c r="Y40" s="26">
        <f t="shared" si="18"/>
        <v>92.822360316372254</v>
      </c>
      <c r="Z40" s="54">
        <f t="shared" si="18"/>
        <v>94.205413485086225</v>
      </c>
      <c r="AA40" s="26">
        <f t="shared" si="18"/>
        <v>95.609074146013995</v>
      </c>
      <c r="AB40" s="81">
        <f t="shared" si="18"/>
        <v>97.033649350789617</v>
      </c>
    </row>
    <row r="41" spans="1:28" ht="15.75" thickBot="1" x14ac:dyDescent="0.3">
      <c r="A41" s="27" t="s">
        <v>52</v>
      </c>
      <c r="B41" s="41"/>
      <c r="C41" s="28">
        <f t="shared" ref="C41:U41" si="19">C17/$G4</f>
        <v>0.23301369863013699</v>
      </c>
      <c r="D41" s="55">
        <f t="shared" si="19"/>
        <v>0.23184863013698628</v>
      </c>
      <c r="E41" s="28">
        <f t="shared" si="19"/>
        <v>0.23068938698630134</v>
      </c>
      <c r="F41" s="55">
        <f t="shared" si="19"/>
        <v>0.22953594005136985</v>
      </c>
      <c r="G41" s="28">
        <f t="shared" si="19"/>
        <v>0.22838826035111295</v>
      </c>
      <c r="H41" s="28">
        <f t="shared" si="19"/>
        <v>0.22724631904935744</v>
      </c>
      <c r="I41" s="28">
        <f t="shared" si="19"/>
        <v>0.22611008745411063</v>
      </c>
      <c r="J41" s="28">
        <f t="shared" si="19"/>
        <v>0.22497953701684006</v>
      </c>
      <c r="K41" s="28">
        <f t="shared" si="19"/>
        <v>0.22385463933175587</v>
      </c>
      <c r="L41" s="28">
        <f t="shared" si="19"/>
        <v>0.22273536613509712</v>
      </c>
      <c r="M41" s="28">
        <f t="shared" si="19"/>
        <v>0.22162168930442164</v>
      </c>
      <c r="N41" s="28">
        <f t="shared" si="19"/>
        <v>0.22051358085789952</v>
      </c>
      <c r="O41" s="28">
        <f t="shared" si="19"/>
        <v>0.21941101295361001</v>
      </c>
      <c r="P41" s="28">
        <f t="shared" si="19"/>
        <v>0.21831395788884198</v>
      </c>
      <c r="Q41" s="28">
        <f t="shared" si="19"/>
        <v>0.21722238809939776</v>
      </c>
      <c r="R41" s="28">
        <f t="shared" si="19"/>
        <v>0.2161362761589008</v>
      </c>
      <c r="S41" s="28">
        <f t="shared" si="19"/>
        <v>0.21505559477810623</v>
      </c>
      <c r="T41" s="28">
        <f t="shared" si="19"/>
        <v>0.21398031680421573</v>
      </c>
      <c r="U41" s="28">
        <f t="shared" si="19"/>
        <v>0.21291041522019463</v>
      </c>
      <c r="V41" s="68" t="s">
        <v>55</v>
      </c>
      <c r="W41" s="28">
        <f t="shared" ref="W41:AB41" si="20">W17/$G4</f>
        <v>0.21184586314409365</v>
      </c>
      <c r="X41" s="55">
        <f t="shared" si="20"/>
        <v>0.2107866338283732</v>
      </c>
      <c r="Y41" s="28">
        <f t="shared" si="20"/>
        <v>0.20973270065923136</v>
      </c>
      <c r="Z41" s="55">
        <f t="shared" si="20"/>
        <v>0.2086840371559352</v>
      </c>
      <c r="AA41" s="28">
        <f t="shared" si="20"/>
        <v>0.20764061697015551</v>
      </c>
      <c r="AB41" s="82">
        <f t="shared" si="20"/>
        <v>0.20660241388530476</v>
      </c>
    </row>
  </sheetData>
  <mergeCells count="11">
    <mergeCell ref="A27:B27"/>
    <mergeCell ref="A28:B28"/>
    <mergeCell ref="A29:B29"/>
    <mergeCell ref="A34:B34"/>
    <mergeCell ref="A35:B35"/>
    <mergeCell ref="A25:B25"/>
    <mergeCell ref="A14:B14"/>
    <mergeCell ref="A16:B16"/>
    <mergeCell ref="A17:B17"/>
    <mergeCell ref="A18:B18"/>
    <mergeCell ref="A23:B23"/>
  </mergeCells>
  <conditionalFormatting sqref="W37">
    <cfRule type="expression" dxfId="3" priority="4">
      <formula>"W7&gt;0"</formula>
    </cfRule>
    <cfRule type="cellIs" dxfId="2" priority="3" operator="greaterThan">
      <formula>0</formula>
    </cfRule>
  </conditionalFormatting>
  <conditionalFormatting sqref="X37:AB37">
    <cfRule type="cellIs" dxfId="1" priority="2" operator="greaterThan">
      <formula>0</formula>
    </cfRule>
  </conditionalFormatting>
  <conditionalFormatting sqref="W37:AB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F985-D864-4944-B017-100026B8DBD0}">
  <dimension ref="A1:M17"/>
  <sheetViews>
    <sheetView workbookViewId="0">
      <selection activeCell="P6" sqref="P6"/>
    </sheetView>
  </sheetViews>
  <sheetFormatPr defaultRowHeight="15" x14ac:dyDescent="0.25"/>
  <cols>
    <col min="3" max="3" width="10.28515625" bestFit="1" customWidth="1"/>
    <col min="4" max="4" width="18.140625" bestFit="1" customWidth="1"/>
    <col min="7" max="7" width="13.42578125" bestFit="1" customWidth="1"/>
    <col min="8" max="8" width="10.85546875" bestFit="1" customWidth="1"/>
    <col min="9" max="9" width="11.28515625" bestFit="1" customWidth="1"/>
    <col min="10" max="10" width="10.28515625" bestFit="1" customWidth="1"/>
    <col min="11" max="11" width="12.28515625" bestFit="1" customWidth="1"/>
  </cols>
  <sheetData>
    <row r="1" spans="1:13" x14ac:dyDescent="0.25">
      <c r="A1" t="s">
        <v>6</v>
      </c>
      <c r="B1" t="s">
        <v>7</v>
      </c>
      <c r="C1" t="s">
        <v>8</v>
      </c>
      <c r="D1" t="s">
        <v>27</v>
      </c>
      <c r="E1" t="s">
        <v>9</v>
      </c>
      <c r="F1" t="s">
        <v>0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</row>
    <row r="2" spans="1:13" x14ac:dyDescent="0.25">
      <c r="A2">
        <f>B2*300</f>
        <v>300</v>
      </c>
      <c r="B2">
        <v>1</v>
      </c>
      <c r="C2">
        <f>B2*50</f>
        <v>50</v>
      </c>
      <c r="D2">
        <v>1167</v>
      </c>
      <c r="E2">
        <v>50</v>
      </c>
      <c r="F2">
        <v>1524</v>
      </c>
      <c r="G2">
        <v>100</v>
      </c>
      <c r="H2">
        <v>500</v>
      </c>
      <c r="I2">
        <v>300</v>
      </c>
      <c r="J2">
        <f>C2+D2+E2+H2+I2</f>
        <v>2067</v>
      </c>
      <c r="K2">
        <f>F2+G2</f>
        <v>1624</v>
      </c>
      <c r="L2">
        <f>J2+K2</f>
        <v>3691</v>
      </c>
      <c r="M2">
        <f>SUM(J2*1.05)+(K2*1.2)</f>
        <v>4119.1499999999996</v>
      </c>
    </row>
    <row r="3" spans="1:13" x14ac:dyDescent="0.25">
      <c r="A3">
        <f t="shared" ref="A3:A17" si="0">B3*300</f>
        <v>600</v>
      </c>
      <c r="B3">
        <v>2</v>
      </c>
      <c r="C3">
        <f t="shared" ref="C3:C17" si="1">B3*50</f>
        <v>100</v>
      </c>
      <c r="D3">
        <v>1167</v>
      </c>
      <c r="E3">
        <v>50</v>
      </c>
      <c r="F3">
        <v>1524</v>
      </c>
      <c r="G3">
        <v>100</v>
      </c>
      <c r="H3">
        <v>500</v>
      </c>
      <c r="I3">
        <v>300</v>
      </c>
      <c r="J3">
        <f t="shared" ref="J3:J17" si="2">C3+D3+E3+H3+I3</f>
        <v>2117</v>
      </c>
      <c r="K3">
        <f t="shared" ref="K3:K17" si="3">F3+G3</f>
        <v>1624</v>
      </c>
      <c r="L3">
        <f t="shared" ref="L3:L17" si="4">J3+K3</f>
        <v>3741</v>
      </c>
      <c r="M3">
        <f t="shared" ref="M3:M17" si="5">SUM(J3*1.05)+(K3*1.2)</f>
        <v>4171.6499999999996</v>
      </c>
    </row>
    <row r="4" spans="1:13" x14ac:dyDescent="0.25">
      <c r="A4">
        <f t="shared" si="0"/>
        <v>900</v>
      </c>
      <c r="B4">
        <v>3</v>
      </c>
      <c r="C4">
        <f t="shared" si="1"/>
        <v>150</v>
      </c>
      <c r="D4">
        <v>1167</v>
      </c>
      <c r="E4">
        <v>50</v>
      </c>
      <c r="F4">
        <v>1524</v>
      </c>
      <c r="G4">
        <v>100</v>
      </c>
      <c r="H4">
        <v>500</v>
      </c>
      <c r="I4">
        <v>300</v>
      </c>
      <c r="J4">
        <f t="shared" si="2"/>
        <v>2167</v>
      </c>
      <c r="K4">
        <f t="shared" si="3"/>
        <v>1624</v>
      </c>
      <c r="L4">
        <f t="shared" si="4"/>
        <v>3791</v>
      </c>
      <c r="M4">
        <f t="shared" si="5"/>
        <v>4224.1499999999996</v>
      </c>
    </row>
    <row r="5" spans="1:13" x14ac:dyDescent="0.25">
      <c r="A5">
        <f t="shared" si="0"/>
        <v>1200</v>
      </c>
      <c r="B5">
        <v>4</v>
      </c>
      <c r="C5">
        <f t="shared" si="1"/>
        <v>200</v>
      </c>
      <c r="D5">
        <v>1167</v>
      </c>
      <c r="E5">
        <v>50</v>
      </c>
      <c r="F5">
        <v>1524</v>
      </c>
      <c r="G5">
        <v>100</v>
      </c>
      <c r="H5">
        <v>500</v>
      </c>
      <c r="I5">
        <v>300</v>
      </c>
      <c r="J5">
        <f t="shared" si="2"/>
        <v>2217</v>
      </c>
      <c r="K5">
        <f t="shared" si="3"/>
        <v>1624</v>
      </c>
      <c r="L5">
        <f t="shared" si="4"/>
        <v>3841</v>
      </c>
      <c r="M5">
        <f t="shared" si="5"/>
        <v>4276.6499999999996</v>
      </c>
    </row>
    <row r="6" spans="1:13" x14ac:dyDescent="0.25">
      <c r="A6">
        <f t="shared" si="0"/>
        <v>1500</v>
      </c>
      <c r="B6">
        <v>5</v>
      </c>
      <c r="C6">
        <f t="shared" si="1"/>
        <v>250</v>
      </c>
      <c r="D6">
        <v>1167</v>
      </c>
      <c r="E6">
        <v>50</v>
      </c>
      <c r="F6">
        <v>1524</v>
      </c>
      <c r="G6">
        <v>100</v>
      </c>
      <c r="H6">
        <v>500</v>
      </c>
      <c r="I6">
        <v>300</v>
      </c>
      <c r="J6">
        <f t="shared" si="2"/>
        <v>2267</v>
      </c>
      <c r="K6">
        <f t="shared" si="3"/>
        <v>1624</v>
      </c>
      <c r="L6">
        <f t="shared" si="4"/>
        <v>3891</v>
      </c>
      <c r="M6">
        <f t="shared" si="5"/>
        <v>4329.1499999999996</v>
      </c>
    </row>
    <row r="7" spans="1:13" x14ac:dyDescent="0.25">
      <c r="A7">
        <f t="shared" si="0"/>
        <v>1800</v>
      </c>
      <c r="B7">
        <v>6</v>
      </c>
      <c r="C7">
        <f t="shared" si="1"/>
        <v>300</v>
      </c>
      <c r="D7">
        <v>1167</v>
      </c>
      <c r="E7">
        <v>50</v>
      </c>
      <c r="F7">
        <v>1524</v>
      </c>
      <c r="G7">
        <v>100</v>
      </c>
      <c r="H7">
        <v>500</v>
      </c>
      <c r="I7">
        <v>300</v>
      </c>
      <c r="J7">
        <f t="shared" si="2"/>
        <v>2317</v>
      </c>
      <c r="K7">
        <f t="shared" si="3"/>
        <v>1624</v>
      </c>
      <c r="L7">
        <f t="shared" si="4"/>
        <v>3941</v>
      </c>
      <c r="M7">
        <f t="shared" si="5"/>
        <v>4381.6499999999996</v>
      </c>
    </row>
    <row r="8" spans="1:13" x14ac:dyDescent="0.25">
      <c r="A8">
        <f t="shared" si="0"/>
        <v>2100</v>
      </c>
      <c r="B8">
        <v>7</v>
      </c>
      <c r="C8">
        <f t="shared" si="1"/>
        <v>350</v>
      </c>
      <c r="D8">
        <v>1167</v>
      </c>
      <c r="E8">
        <v>50</v>
      </c>
      <c r="F8">
        <v>1524</v>
      </c>
      <c r="G8">
        <v>100</v>
      </c>
      <c r="H8">
        <v>500</v>
      </c>
      <c r="I8">
        <v>300</v>
      </c>
      <c r="J8">
        <f t="shared" si="2"/>
        <v>2367</v>
      </c>
      <c r="K8">
        <f t="shared" si="3"/>
        <v>1624</v>
      </c>
      <c r="L8">
        <f t="shared" si="4"/>
        <v>3991</v>
      </c>
      <c r="M8">
        <f t="shared" si="5"/>
        <v>4434.1499999999996</v>
      </c>
    </row>
    <row r="9" spans="1:13" x14ac:dyDescent="0.25">
      <c r="A9">
        <f t="shared" si="0"/>
        <v>2400</v>
      </c>
      <c r="B9">
        <v>8</v>
      </c>
      <c r="C9">
        <f t="shared" si="1"/>
        <v>400</v>
      </c>
      <c r="D9">
        <v>1167</v>
      </c>
      <c r="E9">
        <v>50</v>
      </c>
      <c r="F9">
        <v>1524</v>
      </c>
      <c r="G9">
        <v>100</v>
      </c>
      <c r="H9">
        <v>500</v>
      </c>
      <c r="I9">
        <v>300</v>
      </c>
      <c r="J9">
        <f t="shared" si="2"/>
        <v>2417</v>
      </c>
      <c r="K9">
        <f t="shared" si="3"/>
        <v>1624</v>
      </c>
      <c r="L9">
        <f t="shared" si="4"/>
        <v>4041</v>
      </c>
      <c r="M9">
        <f t="shared" si="5"/>
        <v>4486.6499999999996</v>
      </c>
    </row>
    <row r="10" spans="1:13" x14ac:dyDescent="0.25">
      <c r="A10">
        <f t="shared" si="0"/>
        <v>2700</v>
      </c>
      <c r="B10">
        <v>9</v>
      </c>
      <c r="C10">
        <f t="shared" si="1"/>
        <v>450</v>
      </c>
      <c r="D10">
        <v>1167</v>
      </c>
      <c r="E10">
        <v>50</v>
      </c>
      <c r="F10">
        <v>1524</v>
      </c>
      <c r="G10">
        <v>100</v>
      </c>
      <c r="H10">
        <v>500</v>
      </c>
      <c r="I10">
        <v>300</v>
      </c>
      <c r="J10">
        <f t="shared" si="2"/>
        <v>2467</v>
      </c>
      <c r="K10">
        <f t="shared" si="3"/>
        <v>1624</v>
      </c>
      <c r="L10">
        <f t="shared" si="4"/>
        <v>4091</v>
      </c>
      <c r="M10">
        <f t="shared" si="5"/>
        <v>4539.1499999999996</v>
      </c>
    </row>
    <row r="11" spans="1:13" x14ac:dyDescent="0.25">
      <c r="A11">
        <f t="shared" si="0"/>
        <v>3000</v>
      </c>
      <c r="B11">
        <v>10</v>
      </c>
      <c r="C11">
        <f t="shared" si="1"/>
        <v>500</v>
      </c>
      <c r="D11">
        <v>1167</v>
      </c>
      <c r="E11">
        <v>50</v>
      </c>
      <c r="F11">
        <v>1524</v>
      </c>
      <c r="G11">
        <v>100</v>
      </c>
      <c r="H11">
        <v>500</v>
      </c>
      <c r="I11">
        <v>300</v>
      </c>
      <c r="J11">
        <f t="shared" si="2"/>
        <v>2517</v>
      </c>
      <c r="K11">
        <f t="shared" si="3"/>
        <v>1624</v>
      </c>
      <c r="L11">
        <f t="shared" si="4"/>
        <v>4141</v>
      </c>
      <c r="M11">
        <f t="shared" si="5"/>
        <v>4591.6499999999996</v>
      </c>
    </row>
    <row r="12" spans="1:13" x14ac:dyDescent="0.25">
      <c r="A12">
        <f t="shared" si="0"/>
        <v>3300</v>
      </c>
      <c r="B12">
        <v>11</v>
      </c>
      <c r="C12">
        <f t="shared" si="1"/>
        <v>550</v>
      </c>
      <c r="D12">
        <v>1167</v>
      </c>
      <c r="E12">
        <v>50</v>
      </c>
      <c r="F12">
        <v>1524</v>
      </c>
      <c r="G12">
        <v>100</v>
      </c>
      <c r="H12">
        <v>500</v>
      </c>
      <c r="I12">
        <v>300</v>
      </c>
      <c r="J12">
        <f t="shared" si="2"/>
        <v>2567</v>
      </c>
      <c r="K12">
        <f t="shared" si="3"/>
        <v>1624</v>
      </c>
      <c r="L12">
        <f t="shared" si="4"/>
        <v>4191</v>
      </c>
      <c r="M12">
        <f t="shared" si="5"/>
        <v>4644.1499999999996</v>
      </c>
    </row>
    <row r="13" spans="1:13" x14ac:dyDescent="0.25">
      <c r="A13">
        <f t="shared" si="0"/>
        <v>3600</v>
      </c>
      <c r="B13">
        <v>12</v>
      </c>
      <c r="C13">
        <f t="shared" si="1"/>
        <v>600</v>
      </c>
      <c r="D13">
        <v>1167</v>
      </c>
      <c r="E13">
        <v>50</v>
      </c>
      <c r="F13">
        <v>1524</v>
      </c>
      <c r="G13">
        <v>100</v>
      </c>
      <c r="H13">
        <v>500</v>
      </c>
      <c r="I13">
        <v>300</v>
      </c>
      <c r="J13">
        <f t="shared" si="2"/>
        <v>2617</v>
      </c>
      <c r="K13">
        <f t="shared" si="3"/>
        <v>1624</v>
      </c>
      <c r="L13">
        <f t="shared" si="4"/>
        <v>4241</v>
      </c>
      <c r="M13">
        <f t="shared" si="5"/>
        <v>4696.6499999999996</v>
      </c>
    </row>
    <row r="14" spans="1:13" x14ac:dyDescent="0.25">
      <c r="A14">
        <f t="shared" si="0"/>
        <v>3900</v>
      </c>
      <c r="B14">
        <v>13</v>
      </c>
      <c r="C14">
        <f t="shared" si="1"/>
        <v>650</v>
      </c>
      <c r="D14">
        <v>1167</v>
      </c>
      <c r="E14">
        <v>50</v>
      </c>
      <c r="F14">
        <v>1524</v>
      </c>
      <c r="G14">
        <v>100</v>
      </c>
      <c r="H14">
        <v>500</v>
      </c>
      <c r="I14">
        <v>300</v>
      </c>
      <c r="J14">
        <f t="shared" si="2"/>
        <v>2667</v>
      </c>
      <c r="K14">
        <f t="shared" si="3"/>
        <v>1624</v>
      </c>
      <c r="L14">
        <f t="shared" si="4"/>
        <v>4291</v>
      </c>
      <c r="M14">
        <f t="shared" si="5"/>
        <v>4749.1499999999996</v>
      </c>
    </row>
    <row r="15" spans="1:13" x14ac:dyDescent="0.25">
      <c r="A15">
        <f t="shared" si="0"/>
        <v>4200</v>
      </c>
      <c r="B15">
        <v>14</v>
      </c>
      <c r="C15">
        <f t="shared" si="1"/>
        <v>700</v>
      </c>
      <c r="D15">
        <v>1167</v>
      </c>
      <c r="E15">
        <v>50</v>
      </c>
      <c r="F15">
        <v>1524</v>
      </c>
      <c r="G15">
        <v>100</v>
      </c>
      <c r="H15">
        <v>500</v>
      </c>
      <c r="I15">
        <v>300</v>
      </c>
      <c r="J15">
        <f t="shared" si="2"/>
        <v>2717</v>
      </c>
      <c r="K15">
        <f t="shared" si="3"/>
        <v>1624</v>
      </c>
      <c r="L15">
        <f t="shared" si="4"/>
        <v>4341</v>
      </c>
      <c r="M15">
        <f t="shared" si="5"/>
        <v>4801.6499999999996</v>
      </c>
    </row>
    <row r="16" spans="1:13" x14ac:dyDescent="0.25">
      <c r="A16">
        <f t="shared" si="0"/>
        <v>4500</v>
      </c>
      <c r="B16">
        <v>15</v>
      </c>
      <c r="C16">
        <f t="shared" si="1"/>
        <v>750</v>
      </c>
      <c r="D16">
        <v>1167</v>
      </c>
      <c r="E16">
        <v>50</v>
      </c>
      <c r="F16">
        <v>1524</v>
      </c>
      <c r="G16">
        <v>100</v>
      </c>
      <c r="H16">
        <v>500</v>
      </c>
      <c r="I16">
        <v>300</v>
      </c>
      <c r="J16">
        <f t="shared" si="2"/>
        <v>2767</v>
      </c>
      <c r="K16">
        <f t="shared" si="3"/>
        <v>1624</v>
      </c>
      <c r="L16">
        <f t="shared" si="4"/>
        <v>4391</v>
      </c>
      <c r="M16">
        <f t="shared" si="5"/>
        <v>4854.1499999999996</v>
      </c>
    </row>
    <row r="17" spans="1:13" x14ac:dyDescent="0.25">
      <c r="A17">
        <f t="shared" si="0"/>
        <v>4800</v>
      </c>
      <c r="B17">
        <v>16</v>
      </c>
      <c r="C17">
        <f t="shared" si="1"/>
        <v>800</v>
      </c>
      <c r="D17">
        <v>1167</v>
      </c>
      <c r="E17">
        <v>50</v>
      </c>
      <c r="F17">
        <v>1524</v>
      </c>
      <c r="G17">
        <v>100</v>
      </c>
      <c r="H17">
        <v>500</v>
      </c>
      <c r="I17">
        <v>300</v>
      </c>
      <c r="J17">
        <f t="shared" si="2"/>
        <v>2817</v>
      </c>
      <c r="K17">
        <f t="shared" si="3"/>
        <v>1624</v>
      </c>
      <c r="L17">
        <f t="shared" si="4"/>
        <v>4441</v>
      </c>
      <c r="M17">
        <f t="shared" si="5"/>
        <v>4906.6499999999996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Panel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Stuart-Bennett</dc:creator>
  <cp:lastModifiedBy>Chris Stuart-Bennett</cp:lastModifiedBy>
  <dcterms:created xsi:type="dcterms:W3CDTF">2021-07-05T11:12:54Z</dcterms:created>
  <dcterms:modified xsi:type="dcterms:W3CDTF">2021-07-09T13:45:26Z</dcterms:modified>
</cp:coreProperties>
</file>