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e\Dropbox\Noeleen Keane BEC\Next Generation\Modelling tool, Cenex model\"/>
    </mc:Choice>
  </mc:AlternateContent>
  <xr:revisionPtr revIDLastSave="0" documentId="13_ncr:1_{76026E17-B440-4161-9358-EA2EBE1890B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 Assumptions &amp; notes" sheetId="3" r:id="rId1"/>
    <sheet name="INPUTS" sheetId="1" r:id="rId2"/>
    <sheet name="P&amp;L CF forecast" sheetId="2" r:id="rId3"/>
    <sheet name="Scenarios" sheetId="4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B90" i="2" l="1"/>
  <c r="B91" i="2"/>
  <c r="B99" i="2"/>
  <c r="B98" i="2"/>
  <c r="B8" i="4" l="1"/>
  <c r="A8" i="4"/>
  <c r="A10" i="4"/>
  <c r="B7" i="4"/>
  <c r="B9" i="4"/>
  <c r="A9" i="4"/>
  <c r="A7" i="4"/>
  <c r="A6" i="4"/>
  <c r="K34" i="1"/>
  <c r="D70" i="2"/>
  <c r="C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K19" i="1"/>
  <c r="C13" i="2" s="1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K18" i="1"/>
  <c r="C12" i="2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C19" i="2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V47" i="2"/>
  <c r="V48" i="2"/>
  <c r="L47" i="2"/>
  <c r="L48" i="2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C9" i="2"/>
  <c r="C10" i="2"/>
  <c r="C44" i="2"/>
  <c r="C45" i="2"/>
  <c r="D45" i="2" s="1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C47" i="2"/>
  <c r="C48" i="2"/>
  <c r="C53" i="2"/>
  <c r="C55" i="2"/>
  <c r="B88" i="2"/>
  <c r="B89" i="2" s="1"/>
  <c r="Q77" i="2" s="1"/>
  <c r="C62" i="2"/>
  <c r="C68" i="2"/>
  <c r="D47" i="2"/>
  <c r="E47" i="2"/>
  <c r="F47" i="2"/>
  <c r="G47" i="2"/>
  <c r="H47" i="2"/>
  <c r="I47" i="2"/>
  <c r="J47" i="2"/>
  <c r="K47" i="2"/>
  <c r="M47" i="2"/>
  <c r="N47" i="2"/>
  <c r="O47" i="2"/>
  <c r="P47" i="2"/>
  <c r="Q47" i="2"/>
  <c r="R47" i="2"/>
  <c r="S47" i="2"/>
  <c r="T47" i="2"/>
  <c r="U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M48" i="2"/>
  <c r="N48" i="2"/>
  <c r="O48" i="2"/>
  <c r="P48" i="2"/>
  <c r="Q48" i="2"/>
  <c r="R48" i="2"/>
  <c r="S48" i="2"/>
  <c r="T48" i="2"/>
  <c r="U48" i="2"/>
  <c r="W48" i="2"/>
  <c r="X48" i="2"/>
  <c r="Y48" i="2"/>
  <c r="Z48" i="2"/>
  <c r="AA48" i="2"/>
  <c r="D55" i="2"/>
  <c r="E55" i="2"/>
  <c r="F55" i="2"/>
  <c r="G40" i="1"/>
  <c r="C72" i="2"/>
  <c r="K45" i="1"/>
  <c r="K46" i="1"/>
  <c r="G41" i="1"/>
  <c r="K28" i="1"/>
  <c r="C16" i="1"/>
  <c r="C8" i="1"/>
  <c r="C7" i="2"/>
  <c r="D7" i="2" s="1"/>
  <c r="K44" i="1"/>
  <c r="O56" i="2" s="1"/>
  <c r="K23" i="1"/>
  <c r="K22" i="1"/>
  <c r="C12" i="1"/>
  <c r="C3" i="2" s="1"/>
  <c r="C20" i="2" s="1"/>
  <c r="W56" i="2" l="1"/>
  <c r="D44" i="2"/>
  <c r="D53" i="2"/>
  <c r="I57" i="2"/>
  <c r="L49" i="2"/>
  <c r="H58" i="2"/>
  <c r="J58" i="2"/>
  <c r="M49" i="2"/>
  <c r="N49" i="2"/>
  <c r="V57" i="2"/>
  <c r="T49" i="2"/>
  <c r="J56" i="2"/>
  <c r="U49" i="2"/>
  <c r="T56" i="2"/>
  <c r="K57" i="2"/>
  <c r="D49" i="2"/>
  <c r="V49" i="2"/>
  <c r="F49" i="2"/>
  <c r="S56" i="2"/>
  <c r="W58" i="2"/>
  <c r="I58" i="2"/>
  <c r="T58" i="2"/>
  <c r="E49" i="2"/>
  <c r="Y49" i="2"/>
  <c r="G49" i="2"/>
  <c r="O49" i="2"/>
  <c r="W49" i="2"/>
  <c r="G57" i="2"/>
  <c r="C56" i="2"/>
  <c r="Z57" i="2"/>
  <c r="H49" i="2"/>
  <c r="P49" i="2"/>
  <c r="X49" i="2"/>
  <c r="N57" i="2"/>
  <c r="S57" i="2"/>
  <c r="I49" i="2"/>
  <c r="Q49" i="2"/>
  <c r="Z58" i="2"/>
  <c r="E56" i="2"/>
  <c r="J57" i="2"/>
  <c r="F54" i="2"/>
  <c r="J49" i="2"/>
  <c r="R49" i="2"/>
  <c r="Z49" i="2"/>
  <c r="K56" i="2"/>
  <c r="V56" i="2"/>
  <c r="R58" i="2"/>
  <c r="O58" i="2"/>
  <c r="Z56" i="2"/>
  <c r="C49" i="2"/>
  <c r="C50" i="2" s="1"/>
  <c r="K49" i="2"/>
  <c r="S49" i="2"/>
  <c r="AA49" i="2"/>
  <c r="AB47" i="2"/>
  <c r="C27" i="2"/>
  <c r="C64" i="2" s="1"/>
  <c r="S54" i="2"/>
  <c r="Y58" i="2"/>
  <c r="G58" i="2"/>
  <c r="E58" i="2"/>
  <c r="H56" i="2"/>
  <c r="Q57" i="2"/>
  <c r="K24" i="1"/>
  <c r="Q58" i="2"/>
  <c r="C58" i="2"/>
  <c r="AA56" i="2"/>
  <c r="R57" i="2"/>
  <c r="C28" i="2"/>
  <c r="U56" i="2"/>
  <c r="P58" i="2"/>
  <c r="D57" i="2"/>
  <c r="M58" i="2"/>
  <c r="P56" i="2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C78" i="2"/>
  <c r="K54" i="2"/>
  <c r="V54" i="2"/>
  <c r="C54" i="2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N78" i="2"/>
  <c r="I78" i="2"/>
  <c r="M56" i="2"/>
  <c r="N56" i="2"/>
  <c r="U57" i="2"/>
  <c r="R56" i="2"/>
  <c r="AA57" i="2"/>
  <c r="F56" i="2"/>
  <c r="D68" i="2"/>
  <c r="X77" i="2"/>
  <c r="P77" i="2"/>
  <c r="T54" i="2"/>
  <c r="R54" i="2"/>
  <c r="Y54" i="2"/>
  <c r="J54" i="2"/>
  <c r="X54" i="2"/>
  <c r="P54" i="2"/>
  <c r="V78" i="2"/>
  <c r="D9" i="2"/>
  <c r="B92" i="2"/>
  <c r="B96" i="2" s="1"/>
  <c r="O54" i="2"/>
  <c r="H54" i="2"/>
  <c r="Q54" i="2"/>
  <c r="M54" i="2"/>
  <c r="M77" i="2"/>
  <c r="E54" i="2"/>
  <c r="T77" i="2"/>
  <c r="F77" i="2"/>
  <c r="U54" i="2"/>
  <c r="U78" i="2"/>
  <c r="P78" i="2"/>
  <c r="J78" i="2"/>
  <c r="Y77" i="2"/>
  <c r="C77" i="2"/>
  <c r="W77" i="2"/>
  <c r="AA54" i="2"/>
  <c r="I54" i="2"/>
  <c r="G54" i="2"/>
  <c r="L57" i="2"/>
  <c r="X57" i="2"/>
  <c r="O57" i="2"/>
  <c r="F57" i="2"/>
  <c r="M57" i="2"/>
  <c r="T57" i="2"/>
  <c r="D58" i="2"/>
  <c r="K58" i="2"/>
  <c r="S58" i="2"/>
  <c r="L58" i="2"/>
  <c r="K78" i="2"/>
  <c r="E78" i="2"/>
  <c r="J77" i="2"/>
  <c r="K77" i="2"/>
  <c r="Z77" i="2"/>
  <c r="N77" i="2"/>
  <c r="I77" i="2"/>
  <c r="O77" i="2"/>
  <c r="Z54" i="2"/>
  <c r="L54" i="2"/>
  <c r="D54" i="2"/>
  <c r="D56" i="2"/>
  <c r="P57" i="2"/>
  <c r="X58" i="2"/>
  <c r="C57" i="2"/>
  <c r="I56" i="2"/>
  <c r="Q56" i="2"/>
  <c r="Y56" i="2"/>
  <c r="H57" i="2"/>
  <c r="Q78" i="2"/>
  <c r="Q79" i="2" s="1"/>
  <c r="Q99" i="2" s="1"/>
  <c r="M78" i="2"/>
  <c r="F78" i="2"/>
  <c r="W57" i="2"/>
  <c r="G78" i="2"/>
  <c r="V77" i="2"/>
  <c r="H77" i="2"/>
  <c r="X56" i="2"/>
  <c r="R77" i="2"/>
  <c r="D78" i="2"/>
  <c r="W54" i="2"/>
  <c r="N54" i="2"/>
  <c r="E57" i="2"/>
  <c r="Y57" i="2"/>
  <c r="L56" i="2"/>
  <c r="AA58" i="2"/>
  <c r="F58" i="2"/>
  <c r="N58" i="2"/>
  <c r="U58" i="2"/>
  <c r="V58" i="2"/>
  <c r="G56" i="2"/>
  <c r="Z78" i="2"/>
  <c r="H78" i="2"/>
  <c r="D3" i="2"/>
  <c r="D20" i="2" s="1"/>
  <c r="C18" i="2"/>
  <c r="C5" i="2"/>
  <c r="C63" i="2"/>
  <c r="D62" i="2"/>
  <c r="D10" i="2"/>
  <c r="D28" i="2" s="1"/>
  <c r="E45" i="2"/>
  <c r="C11" i="2"/>
  <c r="C35" i="2" s="1"/>
  <c r="AA77" i="2"/>
  <c r="S77" i="2"/>
  <c r="D77" i="2"/>
  <c r="AA78" i="2"/>
  <c r="L78" i="2"/>
  <c r="E77" i="2"/>
  <c r="L77" i="2"/>
  <c r="G77" i="2"/>
  <c r="W78" i="2"/>
  <c r="T78" i="2"/>
  <c r="U77" i="2"/>
  <c r="Y78" i="2"/>
  <c r="S78" i="2"/>
  <c r="X78" i="2"/>
  <c r="R78" i="2"/>
  <c r="O78" i="2"/>
  <c r="C21" i="2" l="1"/>
  <c r="C22" i="2" s="1"/>
  <c r="C23" i="2"/>
  <c r="C24" i="2" s="1"/>
  <c r="C25" i="2" s="1"/>
  <c r="C6" i="4" s="1"/>
  <c r="V100" i="2"/>
  <c r="B93" i="2"/>
  <c r="E53" i="2"/>
  <c r="E44" i="2"/>
  <c r="D50" i="2"/>
  <c r="D27" i="2"/>
  <c r="D64" i="2" s="1"/>
  <c r="AB56" i="2"/>
  <c r="C79" i="2"/>
  <c r="C99" i="2" s="1"/>
  <c r="C34" i="2"/>
  <c r="C36" i="2"/>
  <c r="C59" i="2" s="1"/>
  <c r="I79" i="2"/>
  <c r="I99" i="2" s="1"/>
  <c r="E9" i="2"/>
  <c r="E27" i="2" s="1"/>
  <c r="E64" i="2" s="1"/>
  <c r="P79" i="2"/>
  <c r="P99" i="2" s="1"/>
  <c r="J100" i="2"/>
  <c r="N79" i="2"/>
  <c r="N99" i="2" s="1"/>
  <c r="G100" i="2"/>
  <c r="M79" i="2"/>
  <c r="M99" i="2" s="1"/>
  <c r="V79" i="2"/>
  <c r="V99" i="2" s="1"/>
  <c r="J79" i="2"/>
  <c r="J99" i="2" s="1"/>
  <c r="X79" i="2"/>
  <c r="X99" i="2" s="1"/>
  <c r="Z100" i="2"/>
  <c r="W100" i="2"/>
  <c r="E100" i="2"/>
  <c r="S100" i="2"/>
  <c r="C100" i="2"/>
  <c r="D72" i="2" s="1"/>
  <c r="N100" i="2"/>
  <c r="X100" i="2"/>
  <c r="D100" i="2"/>
  <c r="B97" i="2"/>
  <c r="L100" i="2"/>
  <c r="M100" i="2"/>
  <c r="K100" i="2"/>
  <c r="U79" i="2"/>
  <c r="U99" i="2" s="1"/>
  <c r="R100" i="2"/>
  <c r="I100" i="2"/>
  <c r="B106" i="2"/>
  <c r="H100" i="2"/>
  <c r="AA100" i="2"/>
  <c r="O79" i="2"/>
  <c r="O99" i="2" s="1"/>
  <c r="T100" i="2"/>
  <c r="P100" i="2"/>
  <c r="E68" i="2"/>
  <c r="O100" i="2"/>
  <c r="Y100" i="2"/>
  <c r="Q100" i="2"/>
  <c r="K79" i="2"/>
  <c r="K99" i="2" s="1"/>
  <c r="Y79" i="2"/>
  <c r="Y99" i="2" s="1"/>
  <c r="T79" i="2"/>
  <c r="T99" i="2" s="1"/>
  <c r="E79" i="2"/>
  <c r="E99" i="2" s="1"/>
  <c r="F79" i="2"/>
  <c r="F99" i="2" s="1"/>
  <c r="F100" i="2"/>
  <c r="U100" i="2"/>
  <c r="H79" i="2"/>
  <c r="H99" i="2" s="1"/>
  <c r="G79" i="2"/>
  <c r="G99" i="2" s="1"/>
  <c r="D79" i="2"/>
  <c r="D99" i="2" s="1"/>
  <c r="Z79" i="2"/>
  <c r="Z99" i="2" s="1"/>
  <c r="R79" i="2"/>
  <c r="R99" i="2" s="1"/>
  <c r="W79" i="2"/>
  <c r="W99" i="2" s="1"/>
  <c r="D65" i="2"/>
  <c r="D11" i="2"/>
  <c r="D35" i="2" s="1"/>
  <c r="E10" i="2"/>
  <c r="E28" i="2" s="1"/>
  <c r="C65" i="2"/>
  <c r="C66" i="2" s="1"/>
  <c r="C29" i="2"/>
  <c r="C7" i="4" s="1"/>
  <c r="L79" i="2"/>
  <c r="L99" i="2" s="1"/>
  <c r="S79" i="2"/>
  <c r="S99" i="2" s="1"/>
  <c r="E62" i="2"/>
  <c r="D63" i="2"/>
  <c r="AA79" i="2"/>
  <c r="AA99" i="2" s="1"/>
  <c r="D71" i="2"/>
  <c r="F45" i="2"/>
  <c r="E3" i="2"/>
  <c r="E20" i="2" s="1"/>
  <c r="D5" i="2"/>
  <c r="D18" i="2"/>
  <c r="D22" i="2" l="1"/>
  <c r="C30" i="2"/>
  <c r="D21" i="2"/>
  <c r="D23" i="2"/>
  <c r="D24" i="2" s="1"/>
  <c r="C37" i="2"/>
  <c r="C74" i="2" s="1"/>
  <c r="F44" i="2"/>
  <c r="E50" i="2"/>
  <c r="F53" i="2"/>
  <c r="D36" i="2"/>
  <c r="D59" i="2" s="1"/>
  <c r="D34" i="2"/>
  <c r="F9" i="2"/>
  <c r="F27" i="2" s="1"/>
  <c r="F64" i="2" s="1"/>
  <c r="B101" i="2"/>
  <c r="AB100" i="2"/>
  <c r="F68" i="2"/>
  <c r="D29" i="2"/>
  <c r="D7" i="4" s="1"/>
  <c r="AB79" i="2"/>
  <c r="AB99" i="2"/>
  <c r="G45" i="2"/>
  <c r="D66" i="2"/>
  <c r="F3" i="2"/>
  <c r="F20" i="2" s="1"/>
  <c r="E18" i="2"/>
  <c r="E5" i="2"/>
  <c r="E63" i="2"/>
  <c r="F62" i="2"/>
  <c r="F10" i="2"/>
  <c r="F28" i="2" s="1"/>
  <c r="E11" i="2"/>
  <c r="E35" i="2" s="1"/>
  <c r="E72" i="2"/>
  <c r="E71" i="2"/>
  <c r="D25" i="2" l="1"/>
  <c r="D6" i="4" s="1"/>
  <c r="D30" i="2"/>
  <c r="E21" i="2"/>
  <c r="E22" i="2" s="1"/>
  <c r="E23" i="2"/>
  <c r="E24" i="2" s="1"/>
  <c r="D37" i="2"/>
  <c r="D74" i="2" s="1"/>
  <c r="C81" i="2"/>
  <c r="C98" i="2" s="1"/>
  <c r="G53" i="2"/>
  <c r="C8" i="4"/>
  <c r="C39" i="2"/>
  <c r="C40" i="2" s="1"/>
  <c r="F50" i="2"/>
  <c r="G44" i="2"/>
  <c r="C96" i="2"/>
  <c r="B10" i="4"/>
  <c r="E36" i="2"/>
  <c r="E59" i="2" s="1"/>
  <c r="E34" i="2"/>
  <c r="G9" i="2"/>
  <c r="G27" i="2" s="1"/>
  <c r="G64" i="2" s="1"/>
  <c r="G68" i="2"/>
  <c r="G10" i="2"/>
  <c r="G28" i="2" s="1"/>
  <c r="F11" i="2"/>
  <c r="F35" i="2" s="1"/>
  <c r="F71" i="2"/>
  <c r="F72" i="2"/>
  <c r="E65" i="2"/>
  <c r="E66" i="2" s="1"/>
  <c r="E29" i="2"/>
  <c r="E7" i="4" s="1"/>
  <c r="G3" i="2"/>
  <c r="G20" i="2" s="1"/>
  <c r="F18" i="2"/>
  <c r="F5" i="2"/>
  <c r="F63" i="2"/>
  <c r="G62" i="2"/>
  <c r="H45" i="2"/>
  <c r="E25" i="2" l="1"/>
  <c r="E6" i="4" s="1"/>
  <c r="E30" i="2"/>
  <c r="F21" i="2"/>
  <c r="F22" i="2" s="1"/>
  <c r="F23" i="2"/>
  <c r="F24" i="2" s="1"/>
  <c r="D81" i="2"/>
  <c r="D98" i="2" s="1"/>
  <c r="E37" i="2"/>
  <c r="E74" i="2" s="1"/>
  <c r="C101" i="2"/>
  <c r="D8" i="4"/>
  <c r="D39" i="2"/>
  <c r="D40" i="2" s="1"/>
  <c r="G50" i="2"/>
  <c r="H44" i="2"/>
  <c r="H53" i="2"/>
  <c r="F36" i="2"/>
  <c r="F59" i="2" s="1"/>
  <c r="F34" i="2"/>
  <c r="H9" i="2"/>
  <c r="H27" i="2" s="1"/>
  <c r="H64" i="2" s="1"/>
  <c r="H68" i="2"/>
  <c r="H10" i="2"/>
  <c r="H28" i="2" s="1"/>
  <c r="G11" i="2"/>
  <c r="G35" i="2" s="1"/>
  <c r="I45" i="2"/>
  <c r="F65" i="2"/>
  <c r="F66" i="2" s="1"/>
  <c r="F29" i="2"/>
  <c r="F7" i="4" s="1"/>
  <c r="H62" i="2"/>
  <c r="G63" i="2"/>
  <c r="G71" i="2"/>
  <c r="G72" i="2"/>
  <c r="G5" i="2"/>
  <c r="G18" i="2"/>
  <c r="H3" i="2"/>
  <c r="H20" i="2" s="1"/>
  <c r="F25" i="2" l="1"/>
  <c r="F6" i="4" s="1"/>
  <c r="G22" i="2"/>
  <c r="F30" i="2"/>
  <c r="G21" i="2"/>
  <c r="G23" i="2"/>
  <c r="G24" i="2" s="1"/>
  <c r="F37" i="2"/>
  <c r="F74" i="2" s="1"/>
  <c r="E81" i="2"/>
  <c r="E98" i="2" s="1"/>
  <c r="I53" i="2"/>
  <c r="H50" i="2"/>
  <c r="I44" i="2"/>
  <c r="E8" i="4"/>
  <c r="E39" i="2"/>
  <c r="E40" i="2" s="1"/>
  <c r="I9" i="2"/>
  <c r="I27" i="2" s="1"/>
  <c r="I64" i="2" s="1"/>
  <c r="G36" i="2"/>
  <c r="G59" i="2" s="1"/>
  <c r="G34" i="2"/>
  <c r="I68" i="2"/>
  <c r="H72" i="2"/>
  <c r="H71" i="2"/>
  <c r="J45" i="2"/>
  <c r="H63" i="2"/>
  <c r="I62" i="2"/>
  <c r="I3" i="2"/>
  <c r="I20" i="2" s="1"/>
  <c r="H5" i="2"/>
  <c r="H18" i="2"/>
  <c r="I10" i="2"/>
  <c r="I28" i="2" s="1"/>
  <c r="H11" i="2"/>
  <c r="H35" i="2" s="1"/>
  <c r="G65" i="2"/>
  <c r="G66" i="2" s="1"/>
  <c r="G29" i="2"/>
  <c r="G7" i="4" s="1"/>
  <c r="G25" i="2" l="1"/>
  <c r="G6" i="4" s="1"/>
  <c r="G30" i="2"/>
  <c r="F39" i="2"/>
  <c r="F40" i="2" s="1"/>
  <c r="H21" i="2"/>
  <c r="H22" i="2" s="1"/>
  <c r="H23" i="2"/>
  <c r="H24" i="2" s="1"/>
  <c r="F81" i="2"/>
  <c r="F98" i="2" s="1"/>
  <c r="G37" i="2"/>
  <c r="G74" i="2" s="1"/>
  <c r="F8" i="4"/>
  <c r="I50" i="2"/>
  <c r="J44" i="2"/>
  <c r="J53" i="2"/>
  <c r="J9" i="2"/>
  <c r="J27" i="2" s="1"/>
  <c r="J64" i="2" s="1"/>
  <c r="H36" i="2"/>
  <c r="H59" i="2" s="1"/>
  <c r="H34" i="2"/>
  <c r="J68" i="2"/>
  <c r="I63" i="2"/>
  <c r="J62" i="2"/>
  <c r="H65" i="2"/>
  <c r="H66" i="2" s="1"/>
  <c r="H29" i="2"/>
  <c r="H7" i="4" s="1"/>
  <c r="K45" i="2"/>
  <c r="I72" i="2"/>
  <c r="I71" i="2"/>
  <c r="I18" i="2"/>
  <c r="J3" i="2"/>
  <c r="J20" i="2" s="1"/>
  <c r="I5" i="2"/>
  <c r="J10" i="2"/>
  <c r="J28" i="2" s="1"/>
  <c r="I11" i="2"/>
  <c r="I35" i="2" s="1"/>
  <c r="H25" i="2" l="1"/>
  <c r="H6" i="4" s="1"/>
  <c r="H30" i="2"/>
  <c r="G8" i="4"/>
  <c r="I21" i="2"/>
  <c r="I22" i="2" s="1"/>
  <c r="I23" i="2"/>
  <c r="I24" i="2" s="1"/>
  <c r="H37" i="2"/>
  <c r="H74" i="2" s="1"/>
  <c r="G81" i="2"/>
  <c r="G98" i="2" s="1"/>
  <c r="K53" i="2"/>
  <c r="G39" i="2"/>
  <c r="G40" i="2" s="1"/>
  <c r="J50" i="2"/>
  <c r="K44" i="2"/>
  <c r="K9" i="2"/>
  <c r="K27" i="2" s="1"/>
  <c r="K64" i="2" s="1"/>
  <c r="I36" i="2"/>
  <c r="I59" i="2" s="1"/>
  <c r="I34" i="2"/>
  <c r="K68" i="2"/>
  <c r="I65" i="2"/>
  <c r="I66" i="2" s="1"/>
  <c r="I29" i="2"/>
  <c r="I7" i="4" s="1"/>
  <c r="K3" i="2"/>
  <c r="K20" i="2" s="1"/>
  <c r="J18" i="2"/>
  <c r="J5" i="2"/>
  <c r="J72" i="2"/>
  <c r="J71" i="2"/>
  <c r="L45" i="2"/>
  <c r="J63" i="2"/>
  <c r="K62" i="2"/>
  <c r="K10" i="2"/>
  <c r="K28" i="2" s="1"/>
  <c r="J11" i="2"/>
  <c r="J35" i="2" s="1"/>
  <c r="I25" i="2" l="1"/>
  <c r="I6" i="4" s="1"/>
  <c r="I30" i="2"/>
  <c r="J21" i="2"/>
  <c r="J22" i="2" s="1"/>
  <c r="J23" i="2"/>
  <c r="J24" i="2" s="1"/>
  <c r="H81" i="2"/>
  <c r="H98" i="2" s="1"/>
  <c r="I37" i="2"/>
  <c r="I74" i="2" s="1"/>
  <c r="H8" i="4"/>
  <c r="H39" i="2"/>
  <c r="H40" i="2" s="1"/>
  <c r="K50" i="2"/>
  <c r="L44" i="2"/>
  <c r="L53" i="2"/>
  <c r="L9" i="2"/>
  <c r="L27" i="2" s="1"/>
  <c r="L64" i="2" s="1"/>
  <c r="J36" i="2"/>
  <c r="J59" i="2" s="1"/>
  <c r="J34" i="2"/>
  <c r="L68" i="2"/>
  <c r="M45" i="2"/>
  <c r="L62" i="2"/>
  <c r="K63" i="2"/>
  <c r="K72" i="2"/>
  <c r="K71" i="2"/>
  <c r="J65" i="2"/>
  <c r="J66" i="2" s="1"/>
  <c r="J29" i="2"/>
  <c r="J7" i="4" s="1"/>
  <c r="L10" i="2"/>
  <c r="L28" i="2" s="1"/>
  <c r="K11" i="2"/>
  <c r="K35" i="2" s="1"/>
  <c r="K18" i="2"/>
  <c r="K5" i="2"/>
  <c r="L3" i="2"/>
  <c r="L20" i="2" s="1"/>
  <c r="J25" i="2" l="1"/>
  <c r="J6" i="4" s="1"/>
  <c r="J30" i="2"/>
  <c r="K21" i="2"/>
  <c r="K22" i="2" s="1"/>
  <c r="K23" i="2"/>
  <c r="K24" i="2" s="1"/>
  <c r="J37" i="2"/>
  <c r="J74" i="2" s="1"/>
  <c r="I81" i="2"/>
  <c r="I98" i="2" s="1"/>
  <c r="M53" i="2"/>
  <c r="I8" i="4"/>
  <c r="I39" i="2"/>
  <c r="I40" i="2" s="1"/>
  <c r="L50" i="2"/>
  <c r="M44" i="2"/>
  <c r="M9" i="2"/>
  <c r="M27" i="2" s="1"/>
  <c r="M64" i="2" s="1"/>
  <c r="K36" i="2"/>
  <c r="K59" i="2" s="1"/>
  <c r="K34" i="2"/>
  <c r="M68" i="2"/>
  <c r="L72" i="2"/>
  <c r="L71" i="2"/>
  <c r="K65" i="2"/>
  <c r="K66" i="2" s="1"/>
  <c r="K29" i="2"/>
  <c r="K7" i="4" s="1"/>
  <c r="L5" i="2"/>
  <c r="M3" i="2"/>
  <c r="M20" i="2" s="1"/>
  <c r="L18" i="2"/>
  <c r="N45" i="2"/>
  <c r="M10" i="2"/>
  <c r="M28" i="2" s="1"/>
  <c r="L11" i="2"/>
  <c r="L35" i="2" s="1"/>
  <c r="L63" i="2"/>
  <c r="M62" i="2"/>
  <c r="K25" i="2" l="1"/>
  <c r="K6" i="4" s="1"/>
  <c r="K30" i="2"/>
  <c r="L21" i="2"/>
  <c r="L22" i="2" s="1"/>
  <c r="L23" i="2"/>
  <c r="L24" i="2" s="1"/>
  <c r="K37" i="2"/>
  <c r="K74" i="2" s="1"/>
  <c r="J81" i="2"/>
  <c r="J98" i="2" s="1"/>
  <c r="M50" i="2"/>
  <c r="N44" i="2"/>
  <c r="J8" i="4"/>
  <c r="J39" i="2"/>
  <c r="J40" i="2" s="1"/>
  <c r="N53" i="2"/>
  <c r="N9" i="2"/>
  <c r="N27" i="2" s="1"/>
  <c r="N64" i="2" s="1"/>
  <c r="L36" i="2"/>
  <c r="L59" i="2" s="1"/>
  <c r="L34" i="2"/>
  <c r="N68" i="2"/>
  <c r="L65" i="2"/>
  <c r="L66" i="2" s="1"/>
  <c r="L29" i="2"/>
  <c r="L7" i="4" s="1"/>
  <c r="N10" i="2"/>
  <c r="N28" i="2" s="1"/>
  <c r="M11" i="2"/>
  <c r="M35" i="2" s="1"/>
  <c r="O45" i="2"/>
  <c r="M72" i="2"/>
  <c r="M71" i="2"/>
  <c r="N62" i="2"/>
  <c r="M63" i="2"/>
  <c r="M18" i="2"/>
  <c r="M5" i="2"/>
  <c r="N3" i="2"/>
  <c r="N20" i="2" s="1"/>
  <c r="L25" i="2" l="1"/>
  <c r="L6" i="4" s="1"/>
  <c r="L30" i="2"/>
  <c r="M21" i="2"/>
  <c r="M22" i="2" s="1"/>
  <c r="M23" i="2"/>
  <c r="M24" i="2" s="1"/>
  <c r="K81" i="2"/>
  <c r="K98" i="2" s="1"/>
  <c r="L37" i="2"/>
  <c r="L74" i="2" s="1"/>
  <c r="O53" i="2"/>
  <c r="K8" i="4"/>
  <c r="K39" i="2"/>
  <c r="K40" i="2" s="1"/>
  <c r="N50" i="2"/>
  <c r="O44" i="2"/>
  <c r="O9" i="2"/>
  <c r="O27" i="2" s="1"/>
  <c r="O64" i="2" s="1"/>
  <c r="M36" i="2"/>
  <c r="M59" i="2" s="1"/>
  <c r="M34" i="2"/>
  <c r="O68" i="2"/>
  <c r="P45" i="2"/>
  <c r="N72" i="2"/>
  <c r="N71" i="2"/>
  <c r="O10" i="2"/>
  <c r="O28" i="2" s="1"/>
  <c r="N11" i="2"/>
  <c r="N35" i="2" s="1"/>
  <c r="O3" i="2"/>
  <c r="O20" i="2" s="1"/>
  <c r="N18" i="2"/>
  <c r="N5" i="2"/>
  <c r="M65" i="2"/>
  <c r="M66" i="2" s="1"/>
  <c r="M29" i="2"/>
  <c r="N63" i="2"/>
  <c r="O62" i="2"/>
  <c r="M25" i="2" l="1"/>
  <c r="M30" i="2"/>
  <c r="N21" i="2"/>
  <c r="N22" i="2" s="1"/>
  <c r="N23" i="2"/>
  <c r="N24" i="2" s="1"/>
  <c r="M37" i="2"/>
  <c r="M74" i="2" s="1"/>
  <c r="L81" i="2"/>
  <c r="L98" i="2" s="1"/>
  <c r="O50" i="2"/>
  <c r="P44" i="2"/>
  <c r="L8" i="4"/>
  <c r="L39" i="2"/>
  <c r="L40" i="2" s="1"/>
  <c r="P53" i="2"/>
  <c r="P9" i="2"/>
  <c r="P27" i="2" s="1"/>
  <c r="P64" i="2" s="1"/>
  <c r="N36" i="2"/>
  <c r="N59" i="2" s="1"/>
  <c r="N34" i="2"/>
  <c r="P68" i="2"/>
  <c r="O18" i="2"/>
  <c r="P3" i="2"/>
  <c r="P20" i="2" s="1"/>
  <c r="O5" i="2"/>
  <c r="Q45" i="2"/>
  <c r="O63" i="2"/>
  <c r="P62" i="2"/>
  <c r="N65" i="2"/>
  <c r="N66" i="2" s="1"/>
  <c r="N29" i="2"/>
  <c r="O72" i="2"/>
  <c r="O71" i="2"/>
  <c r="P10" i="2"/>
  <c r="P28" i="2" s="1"/>
  <c r="O11" i="2"/>
  <c r="O35" i="2" s="1"/>
  <c r="N25" i="2" l="1"/>
  <c r="N30" i="2"/>
  <c r="O21" i="2"/>
  <c r="O22" i="2" s="1"/>
  <c r="O23" i="2"/>
  <c r="O24" i="2" s="1"/>
  <c r="M81" i="2"/>
  <c r="M98" i="2" s="1"/>
  <c r="N37" i="2"/>
  <c r="N74" i="2" s="1"/>
  <c r="M39" i="2"/>
  <c r="M40" i="2" s="1"/>
  <c r="P50" i="2"/>
  <c r="Q44" i="2"/>
  <c r="Q53" i="2"/>
  <c r="Q9" i="2"/>
  <c r="Q27" i="2" s="1"/>
  <c r="Q64" i="2" s="1"/>
  <c r="O36" i="2"/>
  <c r="O59" i="2" s="1"/>
  <c r="O34" i="2"/>
  <c r="Q68" i="2"/>
  <c r="Q10" i="2"/>
  <c r="Q28" i="2" s="1"/>
  <c r="P11" i="2"/>
  <c r="P35" i="2" s="1"/>
  <c r="O65" i="2"/>
  <c r="O66" i="2" s="1"/>
  <c r="O29" i="2"/>
  <c r="Q62" i="2"/>
  <c r="P63" i="2"/>
  <c r="P72" i="2"/>
  <c r="P71" i="2"/>
  <c r="P5" i="2"/>
  <c r="Q3" i="2"/>
  <c r="Q20" i="2" s="1"/>
  <c r="P18" i="2"/>
  <c r="R45" i="2"/>
  <c r="O25" i="2" l="1"/>
  <c r="O30" i="2"/>
  <c r="P21" i="2"/>
  <c r="P22" i="2" s="1"/>
  <c r="P23" i="2"/>
  <c r="P24" i="2" s="1"/>
  <c r="N81" i="2"/>
  <c r="N98" i="2" s="1"/>
  <c r="O37" i="2"/>
  <c r="O74" i="2" s="1"/>
  <c r="N39" i="2"/>
  <c r="N40" i="2" s="1"/>
  <c r="R53" i="2"/>
  <c r="Q50" i="2"/>
  <c r="R44" i="2"/>
  <c r="R9" i="2"/>
  <c r="R27" i="2" s="1"/>
  <c r="R64" i="2" s="1"/>
  <c r="P36" i="2"/>
  <c r="P59" i="2" s="1"/>
  <c r="P34" i="2"/>
  <c r="R68" i="2"/>
  <c r="R10" i="2"/>
  <c r="R28" i="2" s="1"/>
  <c r="Q11" i="2"/>
  <c r="Q35" i="2" s="1"/>
  <c r="P65" i="2"/>
  <c r="P66" i="2" s="1"/>
  <c r="P29" i="2"/>
  <c r="Q72" i="2"/>
  <c r="Q71" i="2"/>
  <c r="S45" i="2"/>
  <c r="Q5" i="2"/>
  <c r="Q18" i="2"/>
  <c r="R3" i="2"/>
  <c r="R20" i="2" s="1"/>
  <c r="Q63" i="2"/>
  <c r="R62" i="2"/>
  <c r="P25" i="2" l="1"/>
  <c r="P30" i="2"/>
  <c r="Q21" i="2"/>
  <c r="Q22" i="2" s="1"/>
  <c r="Q23" i="2"/>
  <c r="Q24" i="2" s="1"/>
  <c r="O81" i="2"/>
  <c r="O98" i="2" s="1"/>
  <c r="P37" i="2"/>
  <c r="P74" i="2" s="1"/>
  <c r="O39" i="2"/>
  <c r="O40" i="2" s="1"/>
  <c r="R50" i="2"/>
  <c r="S44" i="2"/>
  <c r="S53" i="2"/>
  <c r="S9" i="2"/>
  <c r="S27" i="2" s="1"/>
  <c r="S64" i="2" s="1"/>
  <c r="Q36" i="2"/>
  <c r="Q59" i="2" s="1"/>
  <c r="Q34" i="2"/>
  <c r="S68" i="2"/>
  <c r="T45" i="2"/>
  <c r="R72" i="2"/>
  <c r="R71" i="2"/>
  <c r="S10" i="2"/>
  <c r="S28" i="2" s="1"/>
  <c r="R11" i="2"/>
  <c r="R35" i="2" s="1"/>
  <c r="R5" i="2"/>
  <c r="S3" i="2"/>
  <c r="S20" i="2" s="1"/>
  <c r="R18" i="2"/>
  <c r="Q65" i="2"/>
  <c r="Q66" i="2" s="1"/>
  <c r="Q29" i="2"/>
  <c r="S62" i="2"/>
  <c r="R63" i="2"/>
  <c r="Q25" i="2" l="1"/>
  <c r="Q30" i="2"/>
  <c r="R21" i="2"/>
  <c r="R22" i="2" s="1"/>
  <c r="R23" i="2"/>
  <c r="R24" i="2" s="1"/>
  <c r="P81" i="2"/>
  <c r="P98" i="2" s="1"/>
  <c r="Q37" i="2"/>
  <c r="Q74" i="2" s="1"/>
  <c r="P39" i="2"/>
  <c r="P40" i="2" s="1"/>
  <c r="T9" i="2"/>
  <c r="T27" i="2" s="1"/>
  <c r="T64" i="2" s="1"/>
  <c r="S50" i="2"/>
  <c r="T44" i="2"/>
  <c r="T53" i="2"/>
  <c r="R36" i="2"/>
  <c r="R59" i="2" s="1"/>
  <c r="R34" i="2"/>
  <c r="T68" i="2"/>
  <c r="T10" i="2"/>
  <c r="T28" i="2" s="1"/>
  <c r="S11" i="2"/>
  <c r="S35" i="2" s="1"/>
  <c r="S72" i="2"/>
  <c r="S71" i="2"/>
  <c r="T62" i="2"/>
  <c r="S63" i="2"/>
  <c r="S5" i="2"/>
  <c r="S18" i="2"/>
  <c r="T3" i="2"/>
  <c r="T20" i="2" s="1"/>
  <c r="R65" i="2"/>
  <c r="R66" i="2" s="1"/>
  <c r="R29" i="2"/>
  <c r="U45" i="2"/>
  <c r="R25" i="2" l="1"/>
  <c r="S22" i="2"/>
  <c r="R30" i="2"/>
  <c r="S21" i="2"/>
  <c r="S23" i="2"/>
  <c r="S24" i="2" s="1"/>
  <c r="Q81" i="2"/>
  <c r="Q98" i="2" s="1"/>
  <c r="R37" i="2"/>
  <c r="R74" i="2" s="1"/>
  <c r="Q39" i="2"/>
  <c r="Q40" i="2" s="1"/>
  <c r="U9" i="2"/>
  <c r="U27" i="2" s="1"/>
  <c r="U64" i="2" s="1"/>
  <c r="T50" i="2"/>
  <c r="U44" i="2"/>
  <c r="U53" i="2"/>
  <c r="S36" i="2"/>
  <c r="S59" i="2" s="1"/>
  <c r="S34" i="2"/>
  <c r="U68" i="2"/>
  <c r="V45" i="2"/>
  <c r="T72" i="2"/>
  <c r="T71" i="2"/>
  <c r="U10" i="2"/>
  <c r="U28" i="2" s="1"/>
  <c r="T11" i="2"/>
  <c r="T35" i="2" s="1"/>
  <c r="T5" i="2"/>
  <c r="T18" i="2"/>
  <c r="U3" i="2"/>
  <c r="U20" i="2" s="1"/>
  <c r="T63" i="2"/>
  <c r="U62" i="2"/>
  <c r="S65" i="2"/>
  <c r="S66" i="2" s="1"/>
  <c r="S29" i="2"/>
  <c r="S25" i="2" l="1"/>
  <c r="S30" i="2"/>
  <c r="T21" i="2"/>
  <c r="T22" i="2" s="1"/>
  <c r="T23" i="2"/>
  <c r="T24" i="2" s="1"/>
  <c r="R81" i="2"/>
  <c r="R98" i="2" s="1"/>
  <c r="S37" i="2"/>
  <c r="S74" i="2" s="1"/>
  <c r="V9" i="2"/>
  <c r="R39" i="2"/>
  <c r="R40" i="2" s="1"/>
  <c r="U50" i="2"/>
  <c r="V44" i="2"/>
  <c r="V53" i="2"/>
  <c r="T36" i="2"/>
  <c r="T59" i="2" s="1"/>
  <c r="T34" i="2"/>
  <c r="V68" i="2"/>
  <c r="V62" i="2"/>
  <c r="U63" i="2"/>
  <c r="T65" i="2"/>
  <c r="T66" i="2" s="1"/>
  <c r="T29" i="2"/>
  <c r="W45" i="2"/>
  <c r="V10" i="2"/>
  <c r="V28" i="2" s="1"/>
  <c r="U11" i="2"/>
  <c r="U35" i="2" s="1"/>
  <c r="U71" i="2"/>
  <c r="U72" i="2"/>
  <c r="U5" i="2"/>
  <c r="U18" i="2"/>
  <c r="V3" i="2"/>
  <c r="V20" i="2" s="1"/>
  <c r="T25" i="2" l="1"/>
  <c r="V27" i="2"/>
  <c r="V64" i="2" s="1"/>
  <c r="V23" i="2"/>
  <c r="T30" i="2"/>
  <c r="U21" i="2"/>
  <c r="U22" i="2" s="1"/>
  <c r="U23" i="2"/>
  <c r="U24" i="2" s="1"/>
  <c r="S81" i="2"/>
  <c r="S98" i="2" s="1"/>
  <c r="T37" i="2"/>
  <c r="T74" i="2" s="1"/>
  <c r="W9" i="2"/>
  <c r="S39" i="2"/>
  <c r="S40" i="2" s="1"/>
  <c r="V50" i="2"/>
  <c r="W44" i="2"/>
  <c r="W53" i="2"/>
  <c r="U36" i="2"/>
  <c r="U59" i="2" s="1"/>
  <c r="U34" i="2"/>
  <c r="W68" i="2"/>
  <c r="W10" i="2"/>
  <c r="W28" i="2" s="1"/>
  <c r="V11" i="2"/>
  <c r="V35" i="2" s="1"/>
  <c r="V18" i="2"/>
  <c r="V5" i="2"/>
  <c r="V21" i="2" s="1"/>
  <c r="W3" i="2"/>
  <c r="U65" i="2"/>
  <c r="U66" i="2" s="1"/>
  <c r="U29" i="2"/>
  <c r="V71" i="2"/>
  <c r="V72" i="2"/>
  <c r="X45" i="2"/>
  <c r="V63" i="2"/>
  <c r="W62" i="2"/>
  <c r="U25" i="2" l="1"/>
  <c r="W27" i="2"/>
  <c r="W64" i="2" s="1"/>
  <c r="W23" i="2"/>
  <c r="V22" i="2"/>
  <c r="V24" i="2"/>
  <c r="U30" i="2"/>
  <c r="T81" i="2"/>
  <c r="T98" i="2" s="1"/>
  <c r="U37" i="2"/>
  <c r="U74" i="2" s="1"/>
  <c r="X9" i="2"/>
  <c r="T39" i="2"/>
  <c r="T40" i="2" s="1"/>
  <c r="W50" i="2"/>
  <c r="X44" i="2"/>
  <c r="X53" i="2"/>
  <c r="V36" i="2"/>
  <c r="V59" i="2" s="1"/>
  <c r="V34" i="2"/>
  <c r="X68" i="2"/>
  <c r="V65" i="2"/>
  <c r="V66" i="2" s="1"/>
  <c r="V29" i="2"/>
  <c r="Y45" i="2"/>
  <c r="W71" i="2"/>
  <c r="W72" i="2"/>
  <c r="X10" i="2"/>
  <c r="X28" i="2" s="1"/>
  <c r="W11" i="2"/>
  <c r="W35" i="2" s="1"/>
  <c r="X3" i="2"/>
  <c r="W18" i="2"/>
  <c r="W5" i="2"/>
  <c r="W21" i="2" s="1"/>
  <c r="W63" i="2"/>
  <c r="X62" i="2"/>
  <c r="V25" i="2" l="1"/>
  <c r="V30" i="2"/>
  <c r="X27" i="2"/>
  <c r="X64" i="2" s="1"/>
  <c r="X23" i="2"/>
  <c r="W24" i="2"/>
  <c r="W25" i="2" s="1"/>
  <c r="W22" i="2"/>
  <c r="U81" i="2"/>
  <c r="U98" i="2" s="1"/>
  <c r="V37" i="2"/>
  <c r="V74" i="2" s="1"/>
  <c r="Y9" i="2"/>
  <c r="U39" i="2"/>
  <c r="U40" i="2" s="1"/>
  <c r="X50" i="2"/>
  <c r="Y44" i="2"/>
  <c r="Y53" i="2"/>
  <c r="W36" i="2"/>
  <c r="W59" i="2" s="1"/>
  <c r="W34" i="2"/>
  <c r="Y68" i="2"/>
  <c r="X63" i="2"/>
  <c r="Y62" i="2"/>
  <c r="W65" i="2"/>
  <c r="W66" i="2" s="1"/>
  <c r="W29" i="2"/>
  <c r="Z45" i="2"/>
  <c r="Y10" i="2"/>
  <c r="Y28" i="2" s="1"/>
  <c r="X11" i="2"/>
  <c r="X35" i="2" s="1"/>
  <c r="X72" i="2"/>
  <c r="X71" i="2"/>
  <c r="X18" i="2"/>
  <c r="X5" i="2"/>
  <c r="X21" i="2" s="1"/>
  <c r="Y3" i="2"/>
  <c r="W30" i="2" l="1"/>
  <c r="Y27" i="2"/>
  <c r="Y64" i="2" s="1"/>
  <c r="Y23" i="2"/>
  <c r="X24" i="2"/>
  <c r="X25" i="2" s="1"/>
  <c r="X22" i="2"/>
  <c r="V81" i="2"/>
  <c r="V98" i="2" s="1"/>
  <c r="Z9" i="2"/>
  <c r="W37" i="2"/>
  <c r="W74" i="2" s="1"/>
  <c r="V39" i="2"/>
  <c r="V40" i="2" s="1"/>
  <c r="Y50" i="2"/>
  <c r="Z44" i="2"/>
  <c r="Z53" i="2"/>
  <c r="X36" i="2"/>
  <c r="X59" i="2" s="1"/>
  <c r="X34" i="2"/>
  <c r="Z68" i="2"/>
  <c r="AA45" i="2"/>
  <c r="Z10" i="2"/>
  <c r="Z28" i="2" s="1"/>
  <c r="Y11" i="2"/>
  <c r="Y35" i="2" s="1"/>
  <c r="X65" i="2"/>
  <c r="X66" i="2" s="1"/>
  <c r="X29" i="2"/>
  <c r="Y63" i="2"/>
  <c r="Z62" i="2"/>
  <c r="Y18" i="2"/>
  <c r="Y5" i="2"/>
  <c r="Y21" i="2" s="1"/>
  <c r="Z3" i="2"/>
  <c r="Y72" i="2"/>
  <c r="Y71" i="2"/>
  <c r="X30" i="2" l="1"/>
  <c r="Z27" i="2"/>
  <c r="Z64" i="2" s="1"/>
  <c r="Z23" i="2"/>
  <c r="Y22" i="2"/>
  <c r="Y24" i="2"/>
  <c r="Y25" i="2" s="1"/>
  <c r="AA9" i="2"/>
  <c r="X37" i="2"/>
  <c r="X74" i="2" s="1"/>
  <c r="W81" i="2"/>
  <c r="W98" i="2" s="1"/>
  <c r="W39" i="2"/>
  <c r="W40" i="2" s="1"/>
  <c r="AA53" i="2"/>
  <c r="Z50" i="2"/>
  <c r="AA44" i="2"/>
  <c r="AA50" i="2" s="1"/>
  <c r="Y36" i="2"/>
  <c r="Y59" i="2" s="1"/>
  <c r="Y34" i="2"/>
  <c r="AA68" i="2"/>
  <c r="Z72" i="2"/>
  <c r="Z71" i="2"/>
  <c r="Z63" i="2"/>
  <c r="AA62" i="2"/>
  <c r="AA63" i="2" s="1"/>
  <c r="AA3" i="2"/>
  <c r="Z5" i="2"/>
  <c r="Z21" i="2" s="1"/>
  <c r="Z18" i="2"/>
  <c r="AA10" i="2"/>
  <c r="AA28" i="2" s="1"/>
  <c r="Z11" i="2"/>
  <c r="Z35" i="2" s="1"/>
  <c r="Y65" i="2"/>
  <c r="Y66" i="2" s="1"/>
  <c r="Y29" i="2"/>
  <c r="Y30" i="2" l="1"/>
  <c r="AA27" i="2"/>
  <c r="AA64" i="2" s="1"/>
  <c r="AA23" i="2"/>
  <c r="Z22" i="2"/>
  <c r="Z24" i="2"/>
  <c r="Z25" i="2" s="1"/>
  <c r="Y37" i="2"/>
  <c r="Y74" i="2" s="1"/>
  <c r="X81" i="2"/>
  <c r="X98" i="2" s="1"/>
  <c r="X39" i="2"/>
  <c r="X40" i="2" s="1"/>
  <c r="Z36" i="2"/>
  <c r="Z59" i="2" s="1"/>
  <c r="Z34" i="2"/>
  <c r="AA18" i="2"/>
  <c r="AA5" i="2"/>
  <c r="AA21" i="2" s="1"/>
  <c r="AA72" i="2"/>
  <c r="AA71" i="2"/>
  <c r="AB71" i="2" s="1"/>
  <c r="Z65" i="2"/>
  <c r="Z66" i="2" s="1"/>
  <c r="Z29" i="2"/>
  <c r="AA11" i="2"/>
  <c r="AA35" i="2" s="1"/>
  <c r="Z30" i="2" l="1"/>
  <c r="AA22" i="2"/>
  <c r="AA24" i="2"/>
  <c r="AA25" i="2" s="1"/>
  <c r="Z37" i="2"/>
  <c r="Z74" i="2" s="1"/>
  <c r="Y81" i="2"/>
  <c r="Y98" i="2" s="1"/>
  <c r="Y39" i="2"/>
  <c r="Y40" i="2" s="1"/>
  <c r="AA36" i="2"/>
  <c r="AA59" i="2" s="1"/>
  <c r="AA34" i="2"/>
  <c r="AA65" i="2"/>
  <c r="AA66" i="2" s="1"/>
  <c r="AA29" i="2"/>
  <c r="AA30" i="2" l="1"/>
  <c r="AA37" i="2"/>
  <c r="AA74" i="2" s="1"/>
  <c r="Z81" i="2"/>
  <c r="Z98" i="2" s="1"/>
  <c r="Z39" i="2"/>
  <c r="Z40" i="2" s="1"/>
  <c r="AA81" i="2" l="1"/>
  <c r="AA98" i="2" s="1"/>
  <c r="AA39" i="2"/>
  <c r="AA40" i="2" s="1"/>
  <c r="F9" i="4"/>
  <c r="I9" i="4"/>
  <c r="C9" i="4"/>
  <c r="H9" i="4"/>
  <c r="D9" i="4"/>
  <c r="E9" i="4"/>
  <c r="G9" i="4"/>
  <c r="K9" i="4"/>
  <c r="L9" i="4" l="1"/>
  <c r="J9" i="4"/>
  <c r="C106" i="2" l="1"/>
  <c r="D96" i="2"/>
  <c r="D101" i="2" s="1"/>
  <c r="C10" i="4"/>
  <c r="E96" i="2" l="1"/>
  <c r="E101" i="2" s="1"/>
  <c r="D106" i="2"/>
  <c r="D10" i="4"/>
  <c r="E106" i="2" l="1"/>
  <c r="E10" i="4"/>
  <c r="F96" i="2"/>
  <c r="F101" i="2" s="1"/>
  <c r="F106" i="2" l="1"/>
  <c r="G96" i="2"/>
  <c r="G101" i="2" s="1"/>
  <c r="F10" i="4"/>
  <c r="H96" i="2" l="1"/>
  <c r="H101" i="2" s="1"/>
  <c r="G10" i="4"/>
  <c r="G106" i="2"/>
  <c r="H10" i="4" l="1"/>
  <c r="I96" i="2"/>
  <c r="I101" i="2" s="1"/>
  <c r="H106" i="2"/>
  <c r="I106" i="2" l="1"/>
  <c r="J96" i="2"/>
  <c r="J101" i="2" s="1"/>
  <c r="I10" i="4"/>
  <c r="J10" i="4" l="1"/>
  <c r="K96" i="2"/>
  <c r="K101" i="2" s="1"/>
  <c r="J106" i="2"/>
  <c r="K106" i="2" l="1"/>
  <c r="L96" i="2"/>
  <c r="L101" i="2" s="1"/>
  <c r="K10" i="4"/>
  <c r="L10" i="4" l="1"/>
  <c r="M96" i="2"/>
  <c r="M101" i="2" s="1"/>
  <c r="L106" i="2"/>
  <c r="N96" i="2" l="1"/>
  <c r="N101" i="2" s="1"/>
  <c r="M106" i="2"/>
  <c r="O96" i="2" l="1"/>
  <c r="O101" i="2" s="1"/>
  <c r="N106" i="2"/>
  <c r="O106" i="2" l="1"/>
  <c r="P96" i="2"/>
  <c r="P101" i="2" s="1"/>
  <c r="P106" i="2" l="1"/>
  <c r="Q96" i="2"/>
  <c r="Q101" i="2" s="1"/>
  <c r="Q106" i="2" l="1"/>
  <c r="R96" i="2"/>
  <c r="R101" i="2" s="1"/>
  <c r="R106" i="2" l="1"/>
  <c r="S96" i="2"/>
  <c r="S101" i="2" s="1"/>
  <c r="T96" i="2" l="1"/>
  <c r="T101" i="2" s="1"/>
  <c r="S106" i="2"/>
  <c r="U96" i="2" l="1"/>
  <c r="U101" i="2" s="1"/>
  <c r="T106" i="2"/>
  <c r="V96" i="2" l="1"/>
  <c r="V101" i="2" s="1"/>
  <c r="U106" i="2"/>
  <c r="W96" i="2" l="1"/>
  <c r="W101" i="2" s="1"/>
  <c r="V106" i="2"/>
  <c r="W106" i="2" l="1"/>
  <c r="X96" i="2"/>
  <c r="X101" i="2" s="1"/>
  <c r="X106" i="2" l="1"/>
  <c r="Y96" i="2"/>
  <c r="Y101" i="2" s="1"/>
  <c r="Y106" i="2" l="1"/>
  <c r="Z96" i="2"/>
  <c r="Z101" i="2" s="1"/>
  <c r="Z106" i="2" l="1"/>
  <c r="AA96" i="2"/>
  <c r="AA101" i="2" s="1"/>
  <c r="AA106" i="2" l="1"/>
  <c r="B105" i="2" s="1"/>
  <c r="AB101" i="2"/>
  <c r="B104" i="2"/>
</calcChain>
</file>

<file path=xl/sharedStrings.xml><?xml version="1.0" encoding="utf-8"?>
<sst xmlns="http://schemas.openxmlformats.org/spreadsheetml/2006/main" count="309" uniqueCount="249">
  <si>
    <t>No of years to model over</t>
  </si>
  <si>
    <t>PV system size</t>
  </si>
  <si>
    <t>Solar PV System</t>
  </si>
  <si>
    <t>Expected generation</t>
  </si>
  <si>
    <t>kWp</t>
  </si>
  <si>
    <t>kWh</t>
  </si>
  <si>
    <t>PPA unit rate</t>
  </si>
  <si>
    <t>PPA (annual increase)</t>
  </si>
  <si>
    <t>£/kWh</t>
  </si>
  <si>
    <t>Export rate</t>
  </si>
  <si>
    <t>Y/N</t>
  </si>
  <si>
    <t>EV Charge points</t>
  </si>
  <si>
    <t>Charge point capacity</t>
  </si>
  <si>
    <t>PV array performance reduction / year</t>
  </si>
  <si>
    <t>Deemed Export available</t>
  </si>
  <si>
    <t>Income from Solar PV</t>
  </si>
  <si>
    <t>Solar Array performance / maintenance</t>
  </si>
  <si>
    <t>The Site</t>
  </si>
  <si>
    <t>Charge point usage per day (Peak rate)</t>
  </si>
  <si>
    <t>Charge point usage per day (Off-Peak rate)</t>
  </si>
  <si>
    <t>No of days used per year (site occupancy)</t>
  </si>
  <si>
    <t>days</t>
  </si>
  <si>
    <t>hours per day</t>
  </si>
  <si>
    <t xml:space="preserve">Total Volume of energy used to charge </t>
  </si>
  <si>
    <t>% Solar generation used on site</t>
  </si>
  <si>
    <t>Bridging loan - cost of capital</t>
  </si>
  <si>
    <t xml:space="preserve">Bridging loan term </t>
  </si>
  <si>
    <t>Share payback period</t>
  </si>
  <si>
    <t>Inflation assumption</t>
  </si>
  <si>
    <t>Grid Electricity cost (import)</t>
  </si>
  <si>
    <t>Capital Depreciation period</t>
  </si>
  <si>
    <t>years</t>
  </si>
  <si>
    <t>Charge point performance / maintenance</t>
  </si>
  <si>
    <t>Performance reduction / year</t>
  </si>
  <si>
    <t>Cost of new Charge point</t>
  </si>
  <si>
    <t>Charge point costs</t>
  </si>
  <si>
    <t>Installation costs for replacement</t>
  </si>
  <si>
    <t>Total installation cost</t>
  </si>
  <si>
    <t>Total replacement costs</t>
  </si>
  <si>
    <t>Input</t>
  </si>
  <si>
    <t>Calculated</t>
  </si>
  <si>
    <t>Year</t>
  </si>
  <si>
    <t>PPA income rate</t>
  </si>
  <si>
    <t>Revenue</t>
  </si>
  <si>
    <t>Solar PV revenue PPA</t>
  </si>
  <si>
    <t>Export</t>
  </si>
  <si>
    <t>Deemed Export</t>
  </si>
  <si>
    <t>Export annual increase</t>
  </si>
  <si>
    <t>PV energy Exported</t>
  </si>
  <si>
    <t>Volume exported</t>
  </si>
  <si>
    <t>PV Energy generated</t>
  </si>
  <si>
    <t>Total Solar revenues p.a.</t>
  </si>
  <si>
    <t>Total Revenues</t>
  </si>
  <si>
    <t>Product Development cost</t>
  </si>
  <si>
    <t>EV installation is the same per unit if more than one unit is installed</t>
  </si>
  <si>
    <t>Total CAPEX</t>
  </si>
  <si>
    <t>Metering &amp; monitoring per year</t>
  </si>
  <si>
    <t>General Ops &amp; Maintenance as % of Capital</t>
  </si>
  <si>
    <t>OPEX (ex VAT)</t>
  </si>
  <si>
    <t>PV Ops &amp; Maintenance</t>
  </si>
  <si>
    <t>set peak and off peak prices the same if there is no difference in rates charged</t>
  </si>
  <si>
    <t>EV Peak time charging kWh</t>
  </si>
  <si>
    <t>EV off-peak charging kWh</t>
  </si>
  <si>
    <t>EV Charging customer price (Peak)</t>
  </si>
  <si>
    <t>EV Charging customer price (Off-Peak)</t>
  </si>
  <si>
    <t>Electricity costs</t>
  </si>
  <si>
    <t>Percentage of EV Charges from grid</t>
  </si>
  <si>
    <t>percentage of EV charges carried out when solar is generating</t>
  </si>
  <si>
    <t xml:space="preserve"> averaged across the year</t>
  </si>
  <si>
    <t>PV metering &amp; monitoring</t>
  </si>
  <si>
    <t>PV + EVCP Insurance</t>
  </si>
  <si>
    <t>EVCP equipment cost</t>
  </si>
  <si>
    <t>EVCP installation cost</t>
  </si>
  <si>
    <t>EVCP revenue (peak rate)</t>
  </si>
  <si>
    <t>EVCP revenue (off peak)</t>
  </si>
  <si>
    <t>Total EVCP revenues p.a.</t>
  </si>
  <si>
    <t>total EVCP consumption kWh</t>
  </si>
  <si>
    <t>No of years warranty</t>
  </si>
  <si>
    <t>EVCP replacement 1</t>
  </si>
  <si>
    <t>EVCP replacement 2</t>
  </si>
  <si>
    <t>EVCP replacement 3</t>
  </si>
  <si>
    <t>PV inverter  replacement 1</t>
  </si>
  <si>
    <t>PV inverter  replacement 2</t>
  </si>
  <si>
    <t>General operating costs</t>
  </si>
  <si>
    <t>Administration cost per hour</t>
  </si>
  <si>
    <t>Gross Profit</t>
  </si>
  <si>
    <t>total solar OPEX</t>
  </si>
  <si>
    <t>total EVCP OPEX</t>
  </si>
  <si>
    <t>Depreciation</t>
  </si>
  <si>
    <t>Rate of Depreciation</t>
  </si>
  <si>
    <t>Depreciation of PV</t>
  </si>
  <si>
    <t>Depreciation of EVCP</t>
  </si>
  <si>
    <t>Marketing</t>
  </si>
  <si>
    <t>Cost per acqusition (advertising etc)</t>
  </si>
  <si>
    <t>Price promotion discount</t>
  </si>
  <si>
    <t>No of months p.a. that promo applies</t>
  </si>
  <si>
    <t>Cost per Acqusition</t>
  </si>
  <si>
    <t>used for marketing costs - cost per acquisition</t>
  </si>
  <si>
    <t>No of new users per charge point in year 1</t>
  </si>
  <si>
    <t>Assumed increase / decrease in new user volume per year</t>
  </si>
  <si>
    <t>Promotional pricing discount for peak</t>
  </si>
  <si>
    <t>Promotional pricing discount for off-peak</t>
  </si>
  <si>
    <t>total Marketing costs</t>
  </si>
  <si>
    <t>Capital Expenditure</t>
  </si>
  <si>
    <t>assumed share offer raises exactly the CAPEX required</t>
  </si>
  <si>
    <t>repayment of shares</t>
  </si>
  <si>
    <t>first year that shares can be withdrawn</t>
  </si>
  <si>
    <t>Administration hours per year</t>
  </si>
  <si>
    <t>Solar PV on site</t>
  </si>
  <si>
    <t>PV OPEX</t>
  </si>
  <si>
    <t>EVCP OPEX</t>
  </si>
  <si>
    <t>Marketing Costs</t>
  </si>
  <si>
    <t>EVCP electricity cost from solar</t>
  </si>
  <si>
    <t>EVCP Electricity cost from grid</t>
  </si>
  <si>
    <t>Number of new users per annum</t>
  </si>
  <si>
    <t>Insurance PV + EV</t>
  </si>
  <si>
    <t>Insurance PV alone</t>
  </si>
  <si>
    <t>Insurance EV alone</t>
  </si>
  <si>
    <t>NPV</t>
  </si>
  <si>
    <t>IRR</t>
  </si>
  <si>
    <t>Community finance cost of capital (share interest)</t>
  </si>
  <si>
    <t>NPV Rate (assumed to equal interest on debt)</t>
  </si>
  <si>
    <t>you might make assumptions that longevity of technology increases</t>
  </si>
  <si>
    <t>number of sockets per charge point (ie single or dual)</t>
  </si>
  <si>
    <t>Charge point unit cost</t>
  </si>
  <si>
    <t>see forecast growth in EVs, adjust for your site; include increase in volume of users &amp;/or uses per day &amp;/or duration</t>
  </si>
  <si>
    <t>number of charge point units installed on site</t>
  </si>
  <si>
    <t>No of inverters on site</t>
  </si>
  <si>
    <t>No of years before inverter(s) needs replacement</t>
  </si>
  <si>
    <t>No of years before inverter(s) needs 2nd replacement</t>
  </si>
  <si>
    <t>No of years before charge point(s) needs replacement</t>
  </si>
  <si>
    <t>No of years before charge point(s) needs 2nd replacement</t>
  </si>
  <si>
    <t>No of years before charge point(s) needs 3rd replacement</t>
  </si>
  <si>
    <t>Solar PV System costs</t>
  </si>
  <si>
    <t>Whole System (PV &amp; EVCP) financing</t>
  </si>
  <si>
    <t>y</t>
  </si>
  <si>
    <t>Inflation: the following increase in line with inflation</t>
  </si>
  <si>
    <t>Ops &amp; Maintenance costs</t>
  </si>
  <si>
    <t>EV installation costs</t>
  </si>
  <si>
    <t>PV Performance</t>
  </si>
  <si>
    <t>Performance of the panels decreases over time. By how much is adjustable</t>
  </si>
  <si>
    <t>Administration costs</t>
  </si>
  <si>
    <t>Insurance cost</t>
  </si>
  <si>
    <t>PPA rate</t>
  </si>
  <si>
    <t>Project development cost (% of PV Capital cost)</t>
  </si>
  <si>
    <t>Contribution to Co-op admin / staff costs</t>
  </si>
  <si>
    <t>Solar generated on site cost PPA</t>
  </si>
  <si>
    <t>one quote</t>
  </si>
  <si>
    <t>EV installation cost is the same per chargepoint installation - little impact if twin or single up to 22kWh, assuming no electricty upgrades</t>
  </si>
  <si>
    <t>Extended warranty costs</t>
  </si>
  <si>
    <t>per annum after warranty ends - can choose to set to £0</t>
  </si>
  <si>
    <t>Total Depreciation</t>
  </si>
  <si>
    <t>EVCP data costs &amp; Extended warranty</t>
  </si>
  <si>
    <t>EVCP only insurance (ie no PV on site)</t>
  </si>
  <si>
    <t>Other EVCP Ops &amp; Maintenance</t>
  </si>
  <si>
    <t>forecast how much other O&amp;M may be needed eg error call out, after warranty ends esp if do not extend manufacturer warranty</t>
  </si>
  <si>
    <t>not used</t>
  </si>
  <si>
    <t>Finance rate (vary year on year if needed)</t>
  </si>
  <si>
    <t>CASH FLOW</t>
  </si>
  <si>
    <t>PROFIT &amp; LOSS</t>
  </si>
  <si>
    <t>Accumulative share capital paid back in prior years</t>
  </si>
  <si>
    <t>Equipment &amp; Installation costs</t>
  </si>
  <si>
    <t>Capital cost of Solar PV per kWh inc installation</t>
  </si>
  <si>
    <t>Cost of new inverter inc installation</t>
  </si>
  <si>
    <t>PV Capital cost (equip &amp; installation)</t>
  </si>
  <si>
    <t>CHECKS</t>
  </si>
  <si>
    <t>Depreciation assumes zero residual value of the asset at the end of its life</t>
  </si>
  <si>
    <t>Depreciation for EVCP is across the replacement period (likely to be shorter than PV)</t>
  </si>
  <si>
    <t>how long you have to own shares before earning interest</t>
  </si>
  <si>
    <t>full years</t>
  </si>
  <si>
    <t>Depreciation for PV is across the full modelling period</t>
  </si>
  <si>
    <t>Financing</t>
  </si>
  <si>
    <t>capital raised through community share offer exactly equals the capital cost and includes contribution to business development costs</t>
  </si>
  <si>
    <t>Net Profit</t>
  </si>
  <si>
    <t>FiT available</t>
  </si>
  <si>
    <t>(if you change this then change the number of sockets too)</t>
  </si>
  <si>
    <t>Solar FiT revenue</t>
  </si>
  <si>
    <t>FiT generation rate</t>
  </si>
  <si>
    <t>n</t>
  </si>
  <si>
    <t>EV Charging customer price (Peak) EX VAT</t>
  </si>
  <si>
    <t>EV Charging customer price (Off-Peak) EX VAT</t>
  </si>
  <si>
    <t>£/kWh. VAT Charged at 20% on EV Charging</t>
  </si>
  <si>
    <t>Assumed increase in use of the chargers (frequency) per year (Peak Rate)</t>
  </si>
  <si>
    <t>Assumed increase in use of the chargers (frequency) per year (Off peak)</t>
  </si>
  <si>
    <t>EV Peak time charging price Ex VAT</t>
  </si>
  <si>
    <t>EV off-peak charging price Ex VAT</t>
  </si>
  <si>
    <t>Assumed increase / decrease in charging price per year (Peak Rate)</t>
  </si>
  <si>
    <t>Assumed increase / decrease in charging price per year (off peak)</t>
  </si>
  <si>
    <t>see forecast growth in EVs, adjust for your site. No churn assumption so decrease %increase if you think you'll loose users as well as gain</t>
  </si>
  <si>
    <t>do you think the price you charge your customers for charging will increase or decrease?</t>
  </si>
  <si>
    <t>EV operator charge</t>
  </si>
  <si>
    <t>IRR calculation</t>
  </si>
  <si>
    <t>Grid price over time</t>
  </si>
  <si>
    <t>Grid Electricity price</t>
  </si>
  <si>
    <t>energy generated / used / costs over time</t>
  </si>
  <si>
    <t>VAT</t>
  </si>
  <si>
    <t>EV Charging prices (ie what the customer pays) INCLUDES VAT, therefore this is removed from the price used in the calculations. Input the inc price</t>
  </si>
  <si>
    <t>Make sure all equipment / installation / warranty etc costs are EX VAT</t>
  </si>
  <si>
    <t>Do you want to build up cash for replacement equipment?</t>
  </si>
  <si>
    <t>Solar PV inverter and EV replacement</t>
  </si>
  <si>
    <t>you can select whther you want to put cash reserve aside to pay for inverter and EVCPP replacements in the future</t>
  </si>
  <si>
    <t>Set the year in which you forecast this will happen eg in year 10, 20 etc</t>
  </si>
  <si>
    <t>NB as the model runs for 25 years there may not be an allocation for replacement in the partial time period at the end, depending on the time gaps chosen</t>
  </si>
  <si>
    <t>Interest for the first year (its payable) is actually paid in the following year, so the cost is shown in the Year+1</t>
  </si>
  <si>
    <t xml:space="preserve">per chargepoint installation </t>
  </si>
  <si>
    <t>Initial installation cost (include civils, electrical upgrades etc)</t>
  </si>
  <si>
    <t xml:space="preserve"> </t>
  </si>
  <si>
    <t>Data charges post warranty period</t>
  </si>
  <si>
    <t>Grid connection cost</t>
  </si>
  <si>
    <t>for high capacity chargers or high volume of chargers</t>
  </si>
  <si>
    <t xml:space="preserve"> per kWh.  This could also be a flat rate per annum so check what model is being operated</t>
  </si>
  <si>
    <t>assumed that cost of technology decreases enough to combat inflation in prices.</t>
  </si>
  <si>
    <t>live numbers</t>
  </si>
  <si>
    <t>Scenario 1</t>
  </si>
  <si>
    <t>closing cash balance</t>
  </si>
  <si>
    <t>Opening cash balance</t>
  </si>
  <si>
    <t>PV inverter  replacement 3</t>
  </si>
  <si>
    <t>PV variable costs</t>
  </si>
  <si>
    <t>Total Variable costs</t>
  </si>
  <si>
    <t>Gross margin %</t>
  </si>
  <si>
    <t xml:space="preserve">interest on shares remaining </t>
  </si>
  <si>
    <t>N</t>
  </si>
  <si>
    <t>Capital received from investors</t>
  </si>
  <si>
    <t xml:space="preserve">Net profit </t>
  </si>
  <si>
    <t>100kWp Solar PV, with FiT (£0.037 / £0.5), no charge points</t>
  </si>
  <si>
    <t>scenario 2</t>
  </si>
  <si>
    <t>Cost of sales (Variable costs)</t>
  </si>
  <si>
    <t>100kWp Solar PV, no FiT, 1 twin 7kW chargepoint, 50% charges from solar</t>
  </si>
  <si>
    <t>scenario 3</t>
  </si>
  <si>
    <t>scenario 4</t>
  </si>
  <si>
    <t>Total Costs (ex Depreciation)</t>
  </si>
  <si>
    <t>100kWp Solar PV, no FiT, no charge points</t>
  </si>
  <si>
    <t>scenario 4a</t>
  </si>
  <si>
    <t>100kWp Solar PV, no FiT, 2 twin 7kW chargepoint, 50% charges from solar</t>
  </si>
  <si>
    <t>Source of the Electricity used for charging</t>
  </si>
  <si>
    <t>Volume of Energy used by individual EV charger socket (Peak)</t>
  </si>
  <si>
    <t>Volume of Energy used by individual EV charger socket (Off-Peak)</t>
  </si>
  <si>
    <t>100kWp Solar PV, no FiT, 1 twin 7kW chargepoint @ 25p/kWh, 0% charges from solar, 100% from grid</t>
  </si>
  <si>
    <t>Export if EV charges from solar</t>
  </si>
  <si>
    <t>remove if less than 0</t>
  </si>
  <si>
    <t>Total Solar revenues p.a. if charging uses solar</t>
  </si>
  <si>
    <t>100kWp Solar PV, no FiT, 1 twin 7kW chargepoint, 50% charges from solar, number of charges per day doubles</t>
  </si>
  <si>
    <t>scenario 4b</t>
  </si>
  <si>
    <t>Total solar revenues</t>
  </si>
  <si>
    <t>FiT Generation rate</t>
  </si>
  <si>
    <t>Total Solar revenues if EV charges from grid</t>
  </si>
  <si>
    <t>change  variables on the INPUTS tab; numbers in the green box will change, cut  paste numbers only (not formulae) into scenarios boxes below; graphs will update. Manually update titles</t>
  </si>
  <si>
    <t>Instructions</t>
  </si>
  <si>
    <t>electricity tariff rates EXCLUDE VAT. We have not included levies such as CCLs in the unit rate here. These can be included by user if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</si>
</sst>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&quot;£&quot;* #,##0_-;\-&quot;£&quot;* #,##0_-;_-&quot;£&quot;* &quot;-&quot;??_-;_-@_-"/>
    <numFmt numFmtId="167" formatCode="_-&quot;£&quot;* #,##0.000_-;\-&quot;£&quot;* #,##0.000_-;_-&quot;£&quot;* &quot;-&quot;??_-;_-@_-"/>
    <numFmt numFmtId="168" formatCode="_-&quot;£&quot;* #,##0.0000_-;\-&quot;£&quot;* #,##0.0000_-;_-&quot;£&quot;* &quot;-&quot;??_-;_-@_-"/>
    <numFmt numFmtId="169" formatCode="[$£-809]#,##0.00;[Red]\-[$£-809]#,##0.00"/>
    <numFmt numFmtId="170" formatCode="[$£-809]#,##0;[Red]\-[$£-809]#,##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i/>
      <sz val="8"/>
      <color theme="0" tint="-0.249977111117893"/>
      <name val="Calibri"/>
      <family val="2"/>
    </font>
    <font>
      <sz val="8"/>
      <color theme="0" tint="-0.249977111117893"/>
      <name val="Calibri"/>
      <family val="2"/>
    </font>
    <font>
      <sz val="11"/>
      <color rgb="FF141414"/>
      <name val="Segoe UI"/>
      <family val="2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164" fontId="12" fillId="0" borderId="0" xfId="1" applyNumberFormat="1" applyFont="1"/>
    <xf numFmtId="9" fontId="0" fillId="2" borderId="0" xfId="0" applyNumberFormat="1" applyFill="1"/>
    <xf numFmtId="0" fontId="0" fillId="2" borderId="0" xfId="0" applyFill="1"/>
    <xf numFmtId="164" fontId="12" fillId="2" borderId="0" xfId="1" applyNumberFormat="1" applyFont="1" applyFill="1"/>
    <xf numFmtId="165" fontId="0" fillId="2" borderId="0" xfId="0" applyNumberFormat="1" applyFill="1"/>
    <xf numFmtId="10" fontId="0" fillId="2" borderId="0" xfId="0" applyNumberFormat="1" applyFill="1"/>
    <xf numFmtId="44" fontId="12" fillId="2" borderId="0" xfId="2" applyFont="1" applyFill="1"/>
    <xf numFmtId="166" fontId="12" fillId="2" borderId="0" xfId="2" applyNumberFormat="1" applyFont="1" applyFill="1"/>
    <xf numFmtId="0" fontId="0" fillId="0" borderId="0" xfId="0" applyFont="1"/>
    <xf numFmtId="166" fontId="12" fillId="0" borderId="0" xfId="2" applyNumberFormat="1" applyFont="1"/>
    <xf numFmtId="166" fontId="12" fillId="3" borderId="0" xfId="2" applyNumberFormat="1" applyFont="1" applyFill="1"/>
    <xf numFmtId="164" fontId="12" fillId="3" borderId="0" xfId="1" applyNumberFormat="1" applyFont="1" applyFill="1"/>
    <xf numFmtId="0" fontId="0" fillId="3" borderId="0" xfId="0" applyFill="1"/>
    <xf numFmtId="167" fontId="12" fillId="0" borderId="0" xfId="2" applyNumberFormat="1" applyFont="1"/>
    <xf numFmtId="168" fontId="12" fillId="0" borderId="0" xfId="2" applyNumberFormat="1" applyFont="1"/>
    <xf numFmtId="166" fontId="3" fillId="0" borderId="0" xfId="2" applyNumberFormat="1" applyFont="1"/>
    <xf numFmtId="166" fontId="12" fillId="0" borderId="0" xfId="2" applyNumberFormat="1" applyFont="1" applyFill="1"/>
    <xf numFmtId="166" fontId="4" fillId="0" borderId="0" xfId="2" applyNumberFormat="1" applyFont="1" applyFill="1" applyAlignment="1">
      <alignment horizontal="right" wrapText="1"/>
    </xf>
    <xf numFmtId="9" fontId="0" fillId="3" borderId="0" xfId="0" applyNumberFormat="1" applyFill="1"/>
    <xf numFmtId="166" fontId="0" fillId="0" borderId="0" xfId="0" applyNumberFormat="1"/>
    <xf numFmtId="164" fontId="2" fillId="0" borderId="0" xfId="1" applyNumberFormat="1" applyFont="1"/>
    <xf numFmtId="168" fontId="2" fillId="0" borderId="0" xfId="2" applyNumberFormat="1" applyFont="1"/>
    <xf numFmtId="166" fontId="2" fillId="0" borderId="0" xfId="2" applyNumberFormat="1" applyFont="1"/>
    <xf numFmtId="166" fontId="3" fillId="0" borderId="0" xfId="0" applyNumberFormat="1" applyFont="1"/>
    <xf numFmtId="165" fontId="12" fillId="2" borderId="0" xfId="3" applyNumberFormat="1" applyFont="1" applyFill="1"/>
    <xf numFmtId="165" fontId="0" fillId="3" borderId="0" xfId="0" applyNumberFormat="1" applyFill="1"/>
    <xf numFmtId="169" fontId="0" fillId="0" borderId="0" xfId="0" applyNumberFormat="1"/>
    <xf numFmtId="170" fontId="0" fillId="0" borderId="0" xfId="0" applyNumberFormat="1"/>
    <xf numFmtId="1" fontId="4" fillId="0" borderId="0" xfId="0" applyNumberFormat="1" applyFont="1" applyAlignment="1">
      <alignment wrapText="1"/>
    </xf>
    <xf numFmtId="165" fontId="2" fillId="0" borderId="0" xfId="3" applyNumberFormat="1" applyFill="1" applyBorder="1" applyAlignment="1" applyProtection="1">
      <alignment wrapText="1"/>
    </xf>
    <xf numFmtId="166" fontId="2" fillId="0" borderId="0" xfId="2" applyNumberFormat="1" applyFill="1" applyBorder="1" applyAlignment="1" applyProtection="1">
      <alignment wrapText="1"/>
    </xf>
    <xf numFmtId="8" fontId="0" fillId="0" borderId="0" xfId="0" applyNumberFormat="1"/>
    <xf numFmtId="9" fontId="12" fillId="2" borderId="0" xfId="3" applyFont="1" applyFill="1"/>
    <xf numFmtId="44" fontId="12" fillId="2" borderId="0" xfId="2" applyNumberFormat="1" applyFont="1" applyFill="1"/>
    <xf numFmtId="0" fontId="0" fillId="0" borderId="0" xfId="0" applyFont="1" applyFill="1"/>
    <xf numFmtId="0" fontId="0" fillId="0" borderId="0" xfId="0" applyFill="1"/>
    <xf numFmtId="0" fontId="6" fillId="0" borderId="0" xfId="0" applyFont="1"/>
    <xf numFmtId="166" fontId="0" fillId="0" borderId="0" xfId="0" applyNumberFormat="1" applyFill="1"/>
    <xf numFmtId="0" fontId="7" fillId="0" borderId="0" xfId="0" applyFont="1"/>
    <xf numFmtId="166" fontId="7" fillId="0" borderId="0" xfId="2" applyNumberFormat="1" applyFont="1" applyFill="1" applyBorder="1" applyAlignment="1" applyProtection="1">
      <alignment wrapText="1"/>
    </xf>
    <xf numFmtId="1" fontId="8" fillId="0" borderId="0" xfId="0" applyNumberFormat="1" applyFont="1" applyAlignment="1">
      <alignment wrapText="1"/>
    </xf>
    <xf numFmtId="0" fontId="9" fillId="4" borderId="0" xfId="0" applyFont="1" applyFill="1"/>
    <xf numFmtId="165" fontId="9" fillId="4" borderId="0" xfId="0" applyNumberFormat="1" applyFont="1" applyFill="1"/>
    <xf numFmtId="9" fontId="12" fillId="3" borderId="0" xfId="3" applyFont="1" applyFill="1"/>
    <xf numFmtId="1" fontId="4" fillId="2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8" fontId="3" fillId="0" borderId="0" xfId="2" applyNumberFormat="1" applyFont="1"/>
    <xf numFmtId="166" fontId="10" fillId="0" borderId="0" xfId="2" applyNumberFormat="1" applyFont="1"/>
    <xf numFmtId="166" fontId="3" fillId="0" borderId="0" xfId="2" applyNumberFormat="1" applyFont="1" applyFill="1"/>
    <xf numFmtId="6" fontId="12" fillId="0" borderId="0" xfId="2" applyNumberFormat="1" applyFont="1"/>
    <xf numFmtId="6" fontId="3" fillId="0" borderId="0" xfId="2" applyNumberFormat="1" applyFont="1"/>
    <xf numFmtId="170" fontId="11" fillId="0" borderId="0" xfId="0" applyNumberFormat="1" applyFont="1"/>
    <xf numFmtId="0" fontId="1" fillId="0" borderId="0" xfId="0" applyFont="1"/>
    <xf numFmtId="166" fontId="1" fillId="0" borderId="0" xfId="2" applyNumberFormat="1" applyFont="1"/>
    <xf numFmtId="168" fontId="1" fillId="0" borderId="0" xfId="2" applyNumberFormat="1" applyFont="1"/>
    <xf numFmtId="166" fontId="12" fillId="5" borderId="0" xfId="2" applyNumberFormat="1" applyFont="1" applyFill="1"/>
    <xf numFmtId="44" fontId="12" fillId="3" borderId="0" xfId="2" applyNumberFormat="1" applyFont="1" applyFill="1"/>
    <xf numFmtId="0" fontId="14" fillId="0" borderId="0" xfId="0" applyFont="1"/>
    <xf numFmtId="166" fontId="14" fillId="0" borderId="0" xfId="2" applyNumberFormat="1" applyFont="1"/>
    <xf numFmtId="166" fontId="14" fillId="0" borderId="0" xfId="0" applyNumberFormat="1" applyFont="1"/>
    <xf numFmtId="166" fontId="4" fillId="0" borderId="0" xfId="2" applyNumberFormat="1" applyFont="1"/>
    <xf numFmtId="170" fontId="4" fillId="0" borderId="0" xfId="0" applyNumberFormat="1" applyFont="1"/>
    <xf numFmtId="0" fontId="4" fillId="0" borderId="0" xfId="0" applyFont="1"/>
    <xf numFmtId="0" fontId="3" fillId="0" borderId="0" xfId="0" applyFont="1" applyFill="1"/>
    <xf numFmtId="166" fontId="4" fillId="0" borderId="0" xfId="2" applyNumberFormat="1" applyFont="1" applyFill="1"/>
    <xf numFmtId="166" fontId="11" fillId="0" borderId="0" xfId="2" applyNumberFormat="1" applyFont="1" applyFill="1"/>
    <xf numFmtId="0" fontId="13" fillId="0" borderId="0" xfId="0" applyFont="1"/>
    <xf numFmtId="166" fontId="15" fillId="0" borderId="0" xfId="2" applyNumberFormat="1" applyFont="1"/>
    <xf numFmtId="166" fontId="16" fillId="0" borderId="0" xfId="2" applyNumberFormat="1" applyFont="1"/>
    <xf numFmtId="166" fontId="15" fillId="0" borderId="0" xfId="2" applyNumberFormat="1" applyFont="1" applyFill="1"/>
    <xf numFmtId="166" fontId="15" fillId="0" borderId="0" xfId="2" applyNumberFormat="1" applyFont="1" applyAlignment="1">
      <alignment wrapText="1"/>
    </xf>
    <xf numFmtId="166" fontId="17" fillId="0" borderId="0" xfId="0" applyNumberFormat="1" applyFont="1"/>
    <xf numFmtId="166" fontId="18" fillId="0" borderId="0" xfId="2" applyNumberFormat="1" applyFont="1" applyAlignment="1">
      <alignment wrapText="1"/>
    </xf>
    <xf numFmtId="166" fontId="19" fillId="0" borderId="0" xfId="2" applyNumberFormat="1" applyFont="1"/>
    <xf numFmtId="6" fontId="16" fillId="0" borderId="0" xfId="2" applyNumberFormat="1" applyFont="1"/>
    <xf numFmtId="166" fontId="15" fillId="0" borderId="0" xfId="2" applyNumberFormat="1" applyFont="1" applyFill="1" applyAlignment="1">
      <alignment wrapText="1"/>
    </xf>
    <xf numFmtId="0" fontId="20" fillId="0" borderId="0" xfId="0" applyFont="1"/>
    <xf numFmtId="166" fontId="15" fillId="0" borderId="0" xfId="2" applyNumberFormat="1" applyFont="1" applyAlignment="1">
      <alignment horizontal="center" vertical="center"/>
    </xf>
    <xf numFmtId="167" fontId="12" fillId="2" borderId="0" xfId="2" applyNumberFormat="1" applyFont="1" applyFill="1"/>
    <xf numFmtId="166" fontId="13" fillId="0" borderId="0" xfId="2" applyNumberFormat="1" applyFont="1"/>
    <xf numFmtId="9" fontId="13" fillId="0" borderId="0" xfId="3" applyFont="1"/>
    <xf numFmtId="0" fontId="21" fillId="0" borderId="0" xfId="0" applyFont="1"/>
    <xf numFmtId="44" fontId="0" fillId="0" borderId="0" xfId="2" applyFont="1"/>
    <xf numFmtId="166" fontId="0" fillId="0" borderId="0" xfId="2" applyNumberFormat="1" applyFont="1"/>
    <xf numFmtId="0" fontId="22" fillId="0" borderId="0" xfId="0" applyFont="1"/>
    <xf numFmtId="9" fontId="22" fillId="0" borderId="0" xfId="3" applyFont="1"/>
    <xf numFmtId="6" fontId="0" fillId="0" borderId="0" xfId="2" applyNumberFormat="1" applyFont="1"/>
    <xf numFmtId="6" fontId="2" fillId="0" borderId="0" xfId="2" applyNumberFormat="1" applyFill="1" applyBorder="1" applyAlignment="1" applyProtection="1">
      <alignment wrapText="1"/>
    </xf>
    <xf numFmtId="0" fontId="0" fillId="0" borderId="0" xfId="0" applyFont="1" applyAlignment="1">
      <alignment horizontal="left" vertical="center"/>
    </xf>
    <xf numFmtId="166" fontId="15" fillId="0" borderId="0" xfId="2" applyNumberFormat="1" applyFont="1" applyAlignment="1">
      <alignment horizontal="center" vertical="center"/>
    </xf>
    <xf numFmtId="166" fontId="23" fillId="0" borderId="0" xfId="2" applyNumberFormat="1" applyFont="1"/>
    <xf numFmtId="0" fontId="0" fillId="6" borderId="2" xfId="0" applyFill="1" applyBorder="1"/>
    <xf numFmtId="0" fontId="0" fillId="6" borderId="3" xfId="0" applyFill="1" applyBorder="1"/>
    <xf numFmtId="0" fontId="0" fillId="6" borderId="4" xfId="0" applyFont="1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4" xfId="0" applyFill="1" applyBorder="1"/>
    <xf numFmtId="166" fontId="0" fillId="6" borderId="0" xfId="2" applyNumberFormat="1" applyFont="1" applyFill="1" applyBorder="1"/>
    <xf numFmtId="166" fontId="0" fillId="6" borderId="5" xfId="2" applyNumberFormat="1" applyFont="1" applyFill="1" applyBorder="1"/>
    <xf numFmtId="166" fontId="0" fillId="6" borderId="4" xfId="2" applyNumberFormat="1" applyFont="1" applyFill="1" applyBorder="1"/>
    <xf numFmtId="8" fontId="0" fillId="6" borderId="4" xfId="0" applyNumberFormat="1" applyFill="1" applyBorder="1"/>
    <xf numFmtId="166" fontId="0" fillId="6" borderId="6" xfId="2" applyNumberFormat="1" applyFont="1" applyFill="1" applyBorder="1"/>
    <xf numFmtId="166" fontId="0" fillId="6" borderId="7" xfId="2" applyNumberFormat="1" applyFont="1" applyFill="1" applyBorder="1"/>
    <xf numFmtId="166" fontId="0" fillId="6" borderId="8" xfId="2" applyNumberFormat="1" applyFont="1" applyFill="1" applyBorder="1"/>
    <xf numFmtId="0" fontId="13" fillId="6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66" fontId="0" fillId="0" borderId="0" xfId="2" applyNumberFormat="1" applyFont="1" applyFill="1" applyBorder="1"/>
    <xf numFmtId="166" fontId="0" fillId="0" borderId="5" xfId="2" applyNumberFormat="1" applyFont="1" applyFill="1" applyBorder="1"/>
    <xf numFmtId="166" fontId="0" fillId="0" borderId="4" xfId="2" applyNumberFormat="1" applyFont="1" applyBorder="1"/>
    <xf numFmtId="8" fontId="0" fillId="0" borderId="4" xfId="0" applyNumberFormat="1" applyBorder="1"/>
    <xf numFmtId="166" fontId="0" fillId="0" borderId="6" xfId="2" applyNumberFormat="1" applyFont="1" applyBorder="1"/>
    <xf numFmtId="166" fontId="0" fillId="0" borderId="7" xfId="2" applyNumberFormat="1" applyFont="1" applyFill="1" applyBorder="1"/>
    <xf numFmtId="166" fontId="0" fillId="0" borderId="8" xfId="2" applyNumberFormat="1" applyFont="1" applyFill="1" applyBorder="1"/>
    <xf numFmtId="166" fontId="0" fillId="0" borderId="0" xfId="2" applyNumberFormat="1" applyFont="1" applyBorder="1"/>
    <xf numFmtId="166" fontId="0" fillId="0" borderId="5" xfId="2" applyNumberFormat="1" applyFont="1" applyBorder="1"/>
    <xf numFmtId="166" fontId="0" fillId="0" borderId="7" xfId="2" applyNumberFormat="1" applyFont="1" applyBorder="1"/>
    <xf numFmtId="166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Scenario 1: 100kWp</a:t>
            </a:r>
            <a:r>
              <a:rPr lang="en-GB" baseline="0"/>
              <a:t> solar PV, with FiT,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no charge points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Scenarios!$A$14</c:f>
              <c:strCache>
                <c:ptCount val="1"/>
                <c:pt idx="0">
                  <c:v>Total Solar revenues p.a.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Scenarios!$B$13:$G$13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Scenarios!$B$14:$G$14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12825</c:v>
                </c:pt>
                <c:pt idx="2">
                  <c:v>12990.656250000002</c:v>
                </c:pt>
                <c:pt idx="3">
                  <c:v>13158.9910546875</c:v>
                </c:pt>
                <c:pt idx="4">
                  <c:v>13330.041571494141</c:v>
                </c:pt>
                <c:pt idx="5">
                  <c:v>13503.845529436181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E-44B7-BB06-1556A4895E97}"/>
            </c:ext>
          </c:extLst>
        </c:ser>
        <c:ser>
          <c:idx val="1"/>
          <c:order val="1"/>
          <c:tx>
            <c:strRef>
              <c:f>Scenarios!$A$15</c:f>
              <c:strCache>
                <c:ptCount val="1"/>
                <c:pt idx="0">
                  <c:v>Total EVCP revenues p.a.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Scenarios!$B$13:$G$13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Scenarios!$B$15:$G$15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E-44B7-BB06-1556A489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65840"/>
        <c:axId val="940666672"/>
      </c:barChart>
      <c:lineChart>
        <c:grouping val="standard"/>
        <c:varyColors val="0"/>
        <c:ser>
          <c:idx val="2"/>
          <c:order val="2"/>
          <c:tx>
            <c:strRef>
              <c:f>Scenarios!$A$17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Scenarios!$B$13:$G$13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Scenarios!$B$17:$G$17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7305</c:v>
                </c:pt>
                <c:pt idx="2">
                  <c:v>7415.1562500000018</c:v>
                </c:pt>
                <c:pt idx="3">
                  <c:v>7526.6035546874991</c:v>
                </c:pt>
                <c:pt idx="4">
                  <c:v>4867.344383994141</c:v>
                </c:pt>
                <c:pt idx="5">
                  <c:v>5096.88091224868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FE-44B7-BB06-1556A489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840"/>
        <c:axId val="940666672"/>
      </c:lineChart>
      <c:catAx>
        <c:axId val="9406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6672"/>
        <c:crossesAt val="0"/>
        <c:auto val="1"/>
        <c:lblAlgn val="ctr"/>
        <c:lblOffset val="100"/>
        <c:noMultiLvlLbl val="0"/>
      </c:catAx>
      <c:valAx>
        <c:axId val="94066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Scenario 2: 100kWp solar PV, no FiT,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 charge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Scenarios!$A$22</c:f>
              <c:strCache>
                <c:ptCount val="1"/>
                <c:pt idx="0">
                  <c:v>Total Solar revenues p.a.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Scenarios!$B$21:$G$21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Scenarios!$B$22:$G$22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9310</c:v>
                </c:pt>
                <c:pt idx="2">
                  <c:v>9423.8100000000013</c:v>
                </c:pt>
                <c:pt idx="3">
                  <c:v>9539.5338224999996</c:v>
                </c:pt>
                <c:pt idx="4">
                  <c:v>9657.1973451318754</c:v>
                </c:pt>
                <c:pt idx="5">
                  <c:v>9776.8268507350695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A-44C4-ACAA-18F928F65DD3}"/>
            </c:ext>
          </c:extLst>
        </c:ser>
        <c:ser>
          <c:idx val="1"/>
          <c:order val="1"/>
          <c:tx>
            <c:strRef>
              <c:f>Scenarios!$A$23</c:f>
              <c:strCache>
                <c:ptCount val="1"/>
                <c:pt idx="0">
                  <c:v>Total EVCP revenues p.a.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Scenarios!$B$21:$G$21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Scenarios!$B$23:$G$23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A-44C4-ACAA-18F928F65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65840"/>
        <c:axId val="940666672"/>
      </c:barChart>
      <c:lineChart>
        <c:grouping val="standard"/>
        <c:varyColors val="0"/>
        <c:ser>
          <c:idx val="2"/>
          <c:order val="2"/>
          <c:tx>
            <c:strRef>
              <c:f>Scenarios!$A$25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Scenarios!$B$25:$G$25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3790</c:v>
                </c:pt>
                <c:pt idx="2">
                  <c:v>3848.3100000000013</c:v>
                </c:pt>
                <c:pt idx="3">
                  <c:v>3907.1463224999998</c:v>
                </c:pt>
                <c:pt idx="4">
                  <c:v>1194.5001576318755</c:v>
                </c:pt>
                <c:pt idx="5">
                  <c:v>1369.8622335475684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EA-44C4-ACAA-18F928F65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840"/>
        <c:axId val="940666672"/>
      </c:lineChart>
      <c:catAx>
        <c:axId val="9406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6672"/>
        <c:crossesAt val="0"/>
        <c:auto val="1"/>
        <c:lblAlgn val="ctr"/>
        <c:lblOffset val="100"/>
        <c:noMultiLvlLbl val="0"/>
      </c:catAx>
      <c:valAx>
        <c:axId val="940666672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Scenario 3: 100kWp Solar</a:t>
            </a:r>
            <a:r>
              <a:rPr lang="en-GB" baseline="0"/>
              <a:t> PV, no FIT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1x 7kW twin charge point, elec source: 100% grid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Scenarios!$A$31</c:f>
              <c:strCache>
                <c:ptCount val="1"/>
                <c:pt idx="0">
                  <c:v>Total Solar revenues p.a.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Scenarios!$B$30:$G$30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Scenarios!$B$31:$G$31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9310</c:v>
                </c:pt>
                <c:pt idx="2">
                  <c:v>9423.8100000000013</c:v>
                </c:pt>
                <c:pt idx="3">
                  <c:v>9539.5338224999996</c:v>
                </c:pt>
                <c:pt idx="4">
                  <c:v>9657.1973451318754</c:v>
                </c:pt>
                <c:pt idx="5">
                  <c:v>9776.8268507350695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6-42E3-AE87-504BA97D1D33}"/>
            </c:ext>
          </c:extLst>
        </c:ser>
        <c:ser>
          <c:idx val="1"/>
          <c:order val="1"/>
          <c:tx>
            <c:strRef>
              <c:f>Scenarios!$A$32</c:f>
              <c:strCache>
                <c:ptCount val="1"/>
                <c:pt idx="0">
                  <c:v>Total EVCP revenues p.a.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Scenarios!$B$30:$G$30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Scenarios!$B$32:$G$32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1166.6666666666667</c:v>
                </c:pt>
                <c:pt idx="2">
                  <c:v>1315.4166666666667</c:v>
                </c:pt>
                <c:pt idx="3">
                  <c:v>1483.1322916666668</c:v>
                </c:pt>
                <c:pt idx="4">
                  <c:v>1672.2316588541669</c:v>
                </c:pt>
                <c:pt idx="5">
                  <c:v>1885.4411953580732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6-42E3-AE87-504BA97D1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665840"/>
        <c:axId val="940666672"/>
      </c:barChart>
      <c:lineChart>
        <c:grouping val="standard"/>
        <c:varyColors val="0"/>
        <c:ser>
          <c:idx val="2"/>
          <c:order val="2"/>
          <c:tx>
            <c:strRef>
              <c:f>Scenarios!$A$34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Scenarios!$B$34:$G$34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3745.6666666666661</c:v>
                </c:pt>
                <c:pt idx="2">
                  <c:v>3840.0266666666676</c:v>
                </c:pt>
                <c:pt idx="3">
                  <c:v>3939.6633641666667</c:v>
                </c:pt>
                <c:pt idx="4">
                  <c:v>715.84902211104236</c:v>
                </c:pt>
                <c:pt idx="5">
                  <c:v>947.86616824782868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D6-42E3-AE87-504BA97D1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840"/>
        <c:axId val="940666672"/>
      </c:lineChart>
      <c:catAx>
        <c:axId val="9406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6672"/>
        <c:crossesAt val="0"/>
        <c:auto val="1"/>
        <c:lblAlgn val="ctr"/>
        <c:lblOffset val="100"/>
        <c:noMultiLvlLbl val="0"/>
      </c:catAx>
      <c:valAx>
        <c:axId val="940666672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Scenario 4: 100kWp Solar</a:t>
            </a:r>
            <a:r>
              <a:rPr lang="en-GB" baseline="0"/>
              <a:t> PV, No FiT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1x7kW twin charge point, elec source: 50% solar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Scenarios!$A$39</c:f>
              <c:strCache>
                <c:ptCount val="1"/>
                <c:pt idx="0">
                  <c:v>Total Solar revenues p.a.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Scenarios!$B$38:$G$38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Scenarios!$B$39:$G$39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9170</c:v>
                </c:pt>
                <c:pt idx="2">
                  <c:v>9269.8100000000013</c:v>
                </c:pt>
                <c:pt idx="3">
                  <c:v>9370.1338225</c:v>
                </c:pt>
                <c:pt idx="4">
                  <c:v>9470.8573451318753</c:v>
                </c:pt>
                <c:pt idx="5">
                  <c:v>9571.8528507350711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6-42B2-AE8C-C6A99F1FE257}"/>
            </c:ext>
          </c:extLst>
        </c:ser>
        <c:ser>
          <c:idx val="1"/>
          <c:order val="1"/>
          <c:tx>
            <c:strRef>
              <c:f>Scenarios!$A$40</c:f>
              <c:strCache>
                <c:ptCount val="1"/>
                <c:pt idx="0">
                  <c:v>Total EVCP revenues p.a.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Scenarios!$B$38:$G$38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Scenarios!$B$40:$G$40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1166.6666666666667</c:v>
                </c:pt>
                <c:pt idx="2">
                  <c:v>1315.4166666666667</c:v>
                </c:pt>
                <c:pt idx="3">
                  <c:v>1483.1322916666668</c:v>
                </c:pt>
                <c:pt idx="4">
                  <c:v>1672.2316588541669</c:v>
                </c:pt>
                <c:pt idx="5">
                  <c:v>1885.4411953580732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6-42B2-AE8C-C6A99F1FE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665840"/>
        <c:axId val="940666672"/>
      </c:barChart>
      <c:lineChart>
        <c:grouping val="standard"/>
        <c:varyColors val="0"/>
        <c:ser>
          <c:idx val="2"/>
          <c:order val="2"/>
          <c:tx>
            <c:strRef>
              <c:f>Scenarios!$A$42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Scenarios!$B$42:$G$42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3717.6666666666661</c:v>
                </c:pt>
                <c:pt idx="2">
                  <c:v>3812.3066666666673</c:v>
                </c:pt>
                <c:pt idx="3">
                  <c:v>3912.6440641666668</c:v>
                </c:pt>
                <c:pt idx="4">
                  <c:v>690.04326136104191</c:v>
                </c:pt>
                <c:pt idx="5">
                  <c:v>923.89452300220546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D6-42B2-AE8C-C6A99F1FE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840"/>
        <c:axId val="940666672"/>
      </c:lineChart>
      <c:catAx>
        <c:axId val="9406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6672"/>
        <c:crossesAt val="0"/>
        <c:auto val="1"/>
        <c:lblAlgn val="ctr"/>
        <c:lblOffset val="100"/>
        <c:noMultiLvlLbl val="0"/>
      </c:catAx>
      <c:valAx>
        <c:axId val="940666672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Scenario 4b: 100kWp Solar PV, no FIT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2x</a:t>
            </a:r>
            <a:r>
              <a:rPr lang="en-GB" baseline="0"/>
              <a:t> 7kW twin charge points, elec source 50% solar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Scenarios!$A$55</c:f>
              <c:strCache>
                <c:ptCount val="1"/>
                <c:pt idx="0">
                  <c:v>Total Solar revenues p.a.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Scenarios!$B$38:$G$38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Scenarios!$B$55:$G$55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8750</c:v>
                </c:pt>
                <c:pt idx="2">
                  <c:v>8807.8100000000013</c:v>
                </c:pt>
                <c:pt idx="3">
                  <c:v>8861.9338224999992</c:v>
                </c:pt>
                <c:pt idx="4">
                  <c:v>8911.8373451318748</c:v>
                </c:pt>
                <c:pt idx="5">
                  <c:v>8956.9308507350706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A-471D-95C3-9F6ABE457038}"/>
            </c:ext>
          </c:extLst>
        </c:ser>
        <c:ser>
          <c:idx val="4"/>
          <c:order val="1"/>
          <c:tx>
            <c:strRef>
              <c:f>Scenarios!$A$56</c:f>
              <c:strCache>
                <c:ptCount val="1"/>
                <c:pt idx="0">
                  <c:v>Total EVCP revenues p.a.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Scenarios!$B$38:$G$38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Scenarios!$B$56:$G$56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4666.666666666667</c:v>
                </c:pt>
                <c:pt idx="2">
                  <c:v>5261.666666666667</c:v>
                </c:pt>
                <c:pt idx="3">
                  <c:v>5932.5291666666672</c:v>
                </c:pt>
                <c:pt idx="4">
                  <c:v>6688.9266354166675</c:v>
                </c:pt>
                <c:pt idx="5">
                  <c:v>7541.7647814322927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A-471D-95C3-9F6ABE45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665840"/>
        <c:axId val="940666672"/>
      </c:barChart>
      <c:lineChart>
        <c:grouping val="standard"/>
        <c:varyColors val="0"/>
        <c:ser>
          <c:idx val="5"/>
          <c:order val="2"/>
          <c:tx>
            <c:strRef>
              <c:f>Scenarios!$A$58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Scenarios!$B$58:$G$58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4130.6666666666679</c:v>
                </c:pt>
                <c:pt idx="2">
                  <c:v>4334.2966666666689</c:v>
                </c:pt>
                <c:pt idx="3">
                  <c:v>4559.1372891666651</c:v>
                </c:pt>
                <c:pt idx="4">
                  <c:v>921.3525725485415</c:v>
                </c:pt>
                <c:pt idx="5">
                  <c:v>1321.8513913661136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7A-471D-95C3-9F6ABE45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840"/>
        <c:axId val="940666672"/>
      </c:lineChart>
      <c:catAx>
        <c:axId val="9406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6672"/>
        <c:crossesAt val="0"/>
        <c:auto val="1"/>
        <c:lblAlgn val="ctr"/>
        <c:lblOffset val="100"/>
        <c:noMultiLvlLbl val="0"/>
      </c:catAx>
      <c:valAx>
        <c:axId val="940666672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Scenario 4a:</a:t>
            </a:r>
            <a:r>
              <a:rPr lang="en-GB" baseline="0"/>
              <a:t> 100kWp solar PV, no FiT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1x7kW twin charge point, 2x usage, 50% solar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Scenarios!$A$47</c:f>
              <c:strCache>
                <c:ptCount val="1"/>
                <c:pt idx="0">
                  <c:v>Total Solar revenues p.a.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Scenarios!$B$38:$G$38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Scenarios!$B$47:$G$47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9030</c:v>
                </c:pt>
                <c:pt idx="2">
                  <c:v>9115.8100000000013</c:v>
                </c:pt>
                <c:pt idx="3">
                  <c:v>9200.7338225000003</c:v>
                </c:pt>
                <c:pt idx="4">
                  <c:v>9284.5173451318751</c:v>
                </c:pt>
                <c:pt idx="5">
                  <c:v>9366.878850735071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1-428C-BE45-92286D414602}"/>
            </c:ext>
          </c:extLst>
        </c:ser>
        <c:ser>
          <c:idx val="4"/>
          <c:order val="1"/>
          <c:tx>
            <c:strRef>
              <c:f>Scenarios!$A$48</c:f>
              <c:strCache>
                <c:ptCount val="1"/>
                <c:pt idx="0">
                  <c:v>Total EVCP revenues p.a.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Scenarios!$B$38:$G$38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Scenarios!$B$48:$G$48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2333.3333333333335</c:v>
                </c:pt>
                <c:pt idx="2">
                  <c:v>2630.8333333333335</c:v>
                </c:pt>
                <c:pt idx="3">
                  <c:v>2966.2645833333336</c:v>
                </c:pt>
                <c:pt idx="4">
                  <c:v>3344.4633177083338</c:v>
                </c:pt>
                <c:pt idx="5">
                  <c:v>3770.8823907161463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1-428C-BE45-92286D414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665840"/>
        <c:axId val="940666672"/>
      </c:barChart>
      <c:lineChart>
        <c:grouping val="standard"/>
        <c:varyColors val="0"/>
        <c:ser>
          <c:idx val="5"/>
          <c:order val="2"/>
          <c:tx>
            <c:strRef>
              <c:f>Scenarios!$A$50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Scenarios!$B$46:$G$46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Scenarios!$B$50:$G$50</c:f>
              <c:numCache>
                <c:formatCode>_-"£"* #,##0_-;\-"£"* #,##0_-;_-"£"* "-"??_-;_-@_-</c:formatCode>
                <c:ptCount val="6"/>
                <c:pt idx="0">
                  <c:v>0</c:v>
                </c:pt>
                <c:pt idx="1">
                  <c:v>3960.3333333333339</c:v>
                </c:pt>
                <c:pt idx="2">
                  <c:v>4091.3033333333351</c:v>
                </c:pt>
                <c:pt idx="3">
                  <c:v>4233.1418058333338</c:v>
                </c:pt>
                <c:pt idx="4">
                  <c:v>1057.9263650902085</c:v>
                </c:pt>
                <c:pt idx="5">
                  <c:v>1345.856812456841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91-428C-BE45-92286D414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840"/>
        <c:axId val="940666672"/>
      </c:lineChart>
      <c:catAx>
        <c:axId val="9406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6672"/>
        <c:crossesAt val="0"/>
        <c:auto val="1"/>
        <c:lblAlgn val="ctr"/>
        <c:lblOffset val="100"/>
        <c:noMultiLvlLbl val="0"/>
      </c:catAx>
      <c:valAx>
        <c:axId val="940666672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398696</xdr:colOff>
      <xdr:row>10</xdr:row>
      <xdr:rowOff>138112</xdr:rowOff>
    </xdr:from>
    <xdr:to>
      <xdr:col>21</xdr:col>
      <xdr:colOff>91174</xdr:colOff>
      <xdr:row>28</xdr:row>
      <xdr:rowOff>70076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C73A42F-18FC-16CD-3D2F-F9843DB14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578703</xdr:colOff>
      <xdr:row>10</xdr:row>
      <xdr:rowOff>127267</xdr:rowOff>
    </xdr:from>
    <xdr:to>
      <xdr:col>29</xdr:col>
      <xdr:colOff>278387</xdr:colOff>
      <xdr:row>28</xdr:row>
      <xdr:rowOff>59231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1589557-DB2E-48CD-9678-CF693AA72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483454</xdr:colOff>
      <xdr:row>30</xdr:row>
      <xdr:rowOff>133470</xdr:rowOff>
    </xdr:from>
    <xdr:to>
      <xdr:col>21</xdr:col>
      <xdr:colOff>183136</xdr:colOff>
      <xdr:row>47</xdr:row>
      <xdr:rowOff>119063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827E4E2-A6FE-4DC5-8B62-2DC9F44A3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557894</xdr:colOff>
      <xdr:row>30</xdr:row>
      <xdr:rowOff>119063</xdr:rowOff>
    </xdr:from>
    <xdr:to>
      <xdr:col>29</xdr:col>
      <xdr:colOff>250373</xdr:colOff>
      <xdr:row>47</xdr:row>
      <xdr:rowOff>104656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AC3E161-1FFA-41E2-BCE5-8EAF9AABE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591986</xdr:colOff>
      <xdr:row>50</xdr:row>
      <xdr:rowOff>49827</xdr:rowOff>
    </xdr:from>
    <xdr:to>
      <xdr:col>29</xdr:col>
      <xdr:colOff>291668</xdr:colOff>
      <xdr:row>67</xdr:row>
      <xdr:rowOff>111060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D61FCBA-1842-4DFE-AB13-74CEA614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426153</xdr:colOff>
      <xdr:row>50</xdr:row>
      <xdr:rowOff>88756</xdr:rowOff>
    </xdr:from>
    <xdr:to>
      <xdr:col>21</xdr:col>
      <xdr:colOff>125836</xdr:colOff>
      <xdr:row>67</xdr:row>
      <xdr:rowOff>149989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AB18F89-F2C1-4FCB-A68E-286055CE9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7"/>
  <sheetViews>
    <sheetView topLeftCell="A13" workbookViewId="0">
      <selection activeCell="A35" sqref="A35"/>
    </sheetView>
  </sheetViews>
  <sheetFormatPr defaultRowHeight="15" x14ac:dyDescent="0.25"/>
  <cols>
    <col min="1" max="1" width="124" bestFit="1" customWidth="1"/>
  </cols>
  <sheetData>
    <row r="2" spans="1:1" x14ac:dyDescent="0.25">
      <c r="A2" s="68" t="s">
        <v>139</v>
      </c>
    </row>
    <row r="3" spans="1:1" x14ac:dyDescent="0.25">
      <c r="A3" t="s">
        <v>140</v>
      </c>
    </row>
    <row r="5" spans="1:1" x14ac:dyDescent="0.25">
      <c r="A5" s="68" t="s">
        <v>138</v>
      </c>
    </row>
    <row r="6" spans="1:1" x14ac:dyDescent="0.25">
      <c r="A6" t="s">
        <v>54</v>
      </c>
    </row>
    <row r="7" spans="1:1" x14ac:dyDescent="0.25">
      <c r="A7" t="s">
        <v>148</v>
      </c>
    </row>
    <row r="10" spans="1:1" x14ac:dyDescent="0.25">
      <c r="A10" s="68" t="s">
        <v>136</v>
      </c>
    </row>
    <row r="11" spans="1:1" x14ac:dyDescent="0.25">
      <c r="A11" t="s">
        <v>143</v>
      </c>
    </row>
    <row r="12" spans="1:1" x14ac:dyDescent="0.25">
      <c r="A12" t="s">
        <v>9</v>
      </c>
    </row>
    <row r="13" spans="1:1" x14ac:dyDescent="0.25">
      <c r="A13" t="s">
        <v>193</v>
      </c>
    </row>
    <row r="14" spans="1:1" x14ac:dyDescent="0.25">
      <c r="A14" t="s">
        <v>142</v>
      </c>
    </row>
    <row r="15" spans="1:1" x14ac:dyDescent="0.25">
      <c r="A15" t="s">
        <v>137</v>
      </c>
    </row>
    <row r="16" spans="1:1" x14ac:dyDescent="0.25">
      <c r="A16" t="s">
        <v>141</v>
      </c>
    </row>
    <row r="18" spans="1:1" x14ac:dyDescent="0.25">
      <c r="A18" s="68" t="s">
        <v>88</v>
      </c>
    </row>
    <row r="19" spans="1:1" x14ac:dyDescent="0.25">
      <c r="A19" t="s">
        <v>104</v>
      </c>
    </row>
    <row r="20" spans="1:1" x14ac:dyDescent="0.25">
      <c r="A20" t="s">
        <v>166</v>
      </c>
    </row>
    <row r="21" spans="1:1" x14ac:dyDescent="0.25">
      <c r="A21" t="s">
        <v>170</v>
      </c>
    </row>
    <row r="22" spans="1:1" x14ac:dyDescent="0.25">
      <c r="A22" t="s">
        <v>167</v>
      </c>
    </row>
    <row r="25" spans="1:1" x14ac:dyDescent="0.25">
      <c r="A25" s="68" t="s">
        <v>171</v>
      </c>
    </row>
    <row r="26" spans="1:1" x14ac:dyDescent="0.25">
      <c r="A26" t="s">
        <v>172</v>
      </c>
    </row>
    <row r="27" spans="1:1" x14ac:dyDescent="0.25">
      <c r="A27" t="s">
        <v>203</v>
      </c>
    </row>
    <row r="29" spans="1:1" x14ac:dyDescent="0.25">
      <c r="A29" s="68" t="s">
        <v>195</v>
      </c>
    </row>
    <row r="30" spans="1:1" x14ac:dyDescent="0.25">
      <c r="A30" t="s">
        <v>248</v>
      </c>
    </row>
    <row r="31" spans="1:1" x14ac:dyDescent="0.25">
      <c r="A31" t="s">
        <v>196</v>
      </c>
    </row>
    <row r="32" spans="1:1" x14ac:dyDescent="0.25">
      <c r="A32" t="s">
        <v>197</v>
      </c>
    </row>
    <row r="34" spans="1:1" x14ac:dyDescent="0.25">
      <c r="A34" s="68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abSelected="1" zoomScale="85" zoomScaleNormal="85" workbookViewId="0">
      <selection activeCell="K28" sqref="K28"/>
    </sheetView>
  </sheetViews>
  <sheetFormatPr defaultRowHeight="15" x14ac:dyDescent="0.25"/>
  <cols>
    <col min="2" max="2" width="34.7109375" bestFit="1" customWidth="1"/>
    <col min="3" max="3" width="10.5703125" bestFit="1" customWidth="1"/>
    <col min="5" max="5" width="3.42578125" customWidth="1"/>
    <col min="6" max="6" width="53.7109375" bestFit="1" customWidth="1"/>
    <col min="7" max="7" width="10.5703125" bestFit="1" customWidth="1"/>
    <col min="8" max="8" width="8.7109375" customWidth="1"/>
    <col min="9" max="9" width="3.140625" customWidth="1"/>
    <col min="10" max="10" width="65.5703125" customWidth="1"/>
    <col min="11" max="11" width="10.5703125" bestFit="1" customWidth="1"/>
    <col min="12" max="12" width="103.5703125" customWidth="1"/>
  </cols>
  <sheetData>
    <row r="1" spans="2:13" x14ac:dyDescent="0.25">
      <c r="C1" s="4" t="s">
        <v>39</v>
      </c>
      <c r="D1" s="14" t="s">
        <v>40</v>
      </c>
    </row>
    <row r="3" spans="2:13" x14ac:dyDescent="0.25">
      <c r="B3" s="1" t="s">
        <v>0</v>
      </c>
      <c r="C3" s="4">
        <v>25</v>
      </c>
    </row>
    <row r="5" spans="2:13" x14ac:dyDescent="0.25">
      <c r="B5" s="1" t="s">
        <v>17</v>
      </c>
      <c r="F5" s="1" t="s">
        <v>15</v>
      </c>
      <c r="J5" s="1" t="s">
        <v>11</v>
      </c>
    </row>
    <row r="6" spans="2:13" x14ac:dyDescent="0.25">
      <c r="B6" s="10" t="s">
        <v>108</v>
      </c>
      <c r="C6" s="4" t="s">
        <v>135</v>
      </c>
      <c r="D6" t="s">
        <v>10</v>
      </c>
      <c r="F6" s="54" t="s">
        <v>174</v>
      </c>
      <c r="G6" s="4" t="s">
        <v>178</v>
      </c>
      <c r="H6" s="10" t="s">
        <v>10</v>
      </c>
      <c r="J6" s="10" t="s">
        <v>126</v>
      </c>
      <c r="K6" s="4">
        <v>1</v>
      </c>
      <c r="L6" s="90" t="s">
        <v>175</v>
      </c>
    </row>
    <row r="7" spans="2:13" x14ac:dyDescent="0.25">
      <c r="B7" t="s">
        <v>24</v>
      </c>
      <c r="C7" s="6">
        <v>0.8</v>
      </c>
      <c r="F7" s="54" t="s">
        <v>244</v>
      </c>
      <c r="G7" s="80">
        <v>3.6999999999999998E-2</v>
      </c>
      <c r="H7" s="10" t="s">
        <v>8</v>
      </c>
      <c r="J7" s="10" t="s">
        <v>123</v>
      </c>
      <c r="K7" s="4">
        <v>2</v>
      </c>
      <c r="L7" s="90"/>
    </row>
    <row r="8" spans="2:13" x14ac:dyDescent="0.25">
      <c r="B8" t="s">
        <v>49</v>
      </c>
      <c r="C8" s="27">
        <f>100%-C7</f>
        <v>0.19999999999999996</v>
      </c>
      <c r="F8" t="s">
        <v>14</v>
      </c>
      <c r="G8" s="4" t="s">
        <v>178</v>
      </c>
      <c r="H8" t="s">
        <v>10</v>
      </c>
      <c r="J8" t="s">
        <v>12</v>
      </c>
      <c r="K8" s="4">
        <v>7</v>
      </c>
      <c r="L8" t="s">
        <v>5</v>
      </c>
    </row>
    <row r="9" spans="2:13" x14ac:dyDescent="0.25">
      <c r="F9" t="s">
        <v>6</v>
      </c>
      <c r="G9" s="8">
        <v>0.11</v>
      </c>
      <c r="H9" t="s">
        <v>8</v>
      </c>
      <c r="J9" t="s">
        <v>98</v>
      </c>
      <c r="K9" s="4">
        <v>10</v>
      </c>
      <c r="L9" t="s">
        <v>97</v>
      </c>
    </row>
    <row r="10" spans="2:13" x14ac:dyDescent="0.25">
      <c r="B10" s="1" t="s">
        <v>2</v>
      </c>
      <c r="F10" t="s">
        <v>7</v>
      </c>
      <c r="G10" s="6">
        <v>2.5000000000000001E-2</v>
      </c>
      <c r="J10" t="s">
        <v>99</v>
      </c>
      <c r="K10" s="6">
        <v>0</v>
      </c>
      <c r="L10" t="s">
        <v>188</v>
      </c>
    </row>
    <row r="11" spans="2:13" x14ac:dyDescent="0.25">
      <c r="B11" t="s">
        <v>1</v>
      </c>
      <c r="C11" s="4">
        <v>100</v>
      </c>
      <c r="D11" t="s">
        <v>4</v>
      </c>
      <c r="F11" t="s">
        <v>9</v>
      </c>
      <c r="G11" s="8">
        <v>0.05</v>
      </c>
      <c r="H11" t="s">
        <v>8</v>
      </c>
      <c r="J11" t="s">
        <v>20</v>
      </c>
      <c r="K11" s="4">
        <v>100</v>
      </c>
      <c r="L11" t="s">
        <v>21</v>
      </c>
    </row>
    <row r="12" spans="2:13" x14ac:dyDescent="0.25">
      <c r="B12" t="s">
        <v>3</v>
      </c>
      <c r="C12" s="5">
        <f>C11*950</f>
        <v>95000</v>
      </c>
      <c r="D12" t="s">
        <v>5</v>
      </c>
      <c r="F12" t="s">
        <v>47</v>
      </c>
      <c r="G12" s="6">
        <v>2.5000000000000001E-2</v>
      </c>
      <c r="J12" t="s">
        <v>18</v>
      </c>
      <c r="K12" s="4">
        <v>4</v>
      </c>
      <c r="L12" t="s">
        <v>22</v>
      </c>
    </row>
    <row r="13" spans="2:13" x14ac:dyDescent="0.25">
      <c r="B13" t="s">
        <v>127</v>
      </c>
      <c r="C13" s="4">
        <v>1</v>
      </c>
      <c r="J13" t="s">
        <v>19</v>
      </c>
      <c r="K13" s="4">
        <v>0</v>
      </c>
      <c r="L13" t="s">
        <v>22</v>
      </c>
      <c r="M13" t="s">
        <v>60</v>
      </c>
    </row>
    <row r="14" spans="2:13" x14ac:dyDescent="0.25">
      <c r="F14" s="1" t="s">
        <v>133</v>
      </c>
      <c r="J14" t="s">
        <v>182</v>
      </c>
      <c r="K14" s="6">
        <v>0.1</v>
      </c>
      <c r="L14" t="s">
        <v>125</v>
      </c>
    </row>
    <row r="15" spans="2:13" x14ac:dyDescent="0.25">
      <c r="B15" s="1" t="s">
        <v>65</v>
      </c>
      <c r="F15" t="s">
        <v>162</v>
      </c>
      <c r="G15" s="4">
        <v>750</v>
      </c>
      <c r="H15" t="s">
        <v>8</v>
      </c>
      <c r="J15" t="s">
        <v>183</v>
      </c>
      <c r="K15" s="6">
        <v>0.1</v>
      </c>
      <c r="L15" t="s">
        <v>125</v>
      </c>
    </row>
    <row r="16" spans="2:13" x14ac:dyDescent="0.25">
      <c r="B16" t="s">
        <v>146</v>
      </c>
      <c r="C16" s="8">
        <f>G9</f>
        <v>0.11</v>
      </c>
      <c r="D16" t="s">
        <v>8</v>
      </c>
      <c r="J16" t="s">
        <v>63</v>
      </c>
      <c r="K16" s="8">
        <v>0.25</v>
      </c>
      <c r="L16" t="s">
        <v>8</v>
      </c>
    </row>
    <row r="17" spans="2:12" x14ac:dyDescent="0.25">
      <c r="B17" t="s">
        <v>29</v>
      </c>
      <c r="C17" s="8">
        <v>0.15</v>
      </c>
      <c r="D17" t="s">
        <v>8</v>
      </c>
      <c r="F17" s="1" t="s">
        <v>16</v>
      </c>
      <c r="J17" t="s">
        <v>64</v>
      </c>
      <c r="K17" s="8">
        <v>0</v>
      </c>
      <c r="L17" t="s">
        <v>8</v>
      </c>
    </row>
    <row r="18" spans="2:12" x14ac:dyDescent="0.25">
      <c r="F18" t="s">
        <v>13</v>
      </c>
      <c r="G18" s="6">
        <v>0.01</v>
      </c>
      <c r="J18" t="s">
        <v>179</v>
      </c>
      <c r="K18" s="58">
        <f>$K$16/1.2</f>
        <v>0.20833333333333334</v>
      </c>
      <c r="L18" t="s">
        <v>181</v>
      </c>
    </row>
    <row r="19" spans="2:12" x14ac:dyDescent="0.25">
      <c r="J19" t="s">
        <v>180</v>
      </c>
      <c r="K19" s="58">
        <f>$K$17/1.2</f>
        <v>0</v>
      </c>
      <c r="L19" t="s">
        <v>181</v>
      </c>
    </row>
    <row r="20" spans="2:12" x14ac:dyDescent="0.25">
      <c r="B20" s="1" t="s">
        <v>83</v>
      </c>
      <c r="F20" t="s">
        <v>128</v>
      </c>
      <c r="G20" s="4">
        <v>10</v>
      </c>
      <c r="J20" t="s">
        <v>186</v>
      </c>
      <c r="K20" s="6">
        <v>2.5000000000000001E-2</v>
      </c>
      <c r="L20" t="s">
        <v>189</v>
      </c>
    </row>
    <row r="21" spans="2:12" x14ac:dyDescent="0.25">
      <c r="B21" t="s">
        <v>107</v>
      </c>
      <c r="C21" s="4">
        <v>40</v>
      </c>
      <c r="F21" t="s">
        <v>129</v>
      </c>
      <c r="G21" s="4">
        <v>20</v>
      </c>
      <c r="H21" t="s">
        <v>31</v>
      </c>
      <c r="J21" t="s">
        <v>187</v>
      </c>
      <c r="K21" s="6">
        <v>2.5000000000000001E-2</v>
      </c>
      <c r="L21" t="s">
        <v>189</v>
      </c>
    </row>
    <row r="22" spans="2:12" x14ac:dyDescent="0.25">
      <c r="B22" t="s">
        <v>84</v>
      </c>
      <c r="C22" s="35">
        <v>25</v>
      </c>
      <c r="F22" t="s">
        <v>163</v>
      </c>
      <c r="G22" s="9">
        <v>6798</v>
      </c>
      <c r="J22" t="s">
        <v>235</v>
      </c>
      <c r="K22" s="13">
        <f>$K$8*$K$11*K12</f>
        <v>2800</v>
      </c>
      <c r="L22" t="s">
        <v>5</v>
      </c>
    </row>
    <row r="23" spans="2:12" x14ac:dyDescent="0.25">
      <c r="J23" t="s">
        <v>236</v>
      </c>
      <c r="K23" s="13">
        <f>$K$8*$K$11*K13</f>
        <v>0</v>
      </c>
      <c r="L23" t="s">
        <v>5</v>
      </c>
    </row>
    <row r="24" spans="2:12" x14ac:dyDescent="0.25">
      <c r="B24" s="1" t="s">
        <v>92</v>
      </c>
      <c r="F24" t="s">
        <v>56</v>
      </c>
      <c r="G24" s="9">
        <v>50</v>
      </c>
      <c r="J24" t="s">
        <v>23</v>
      </c>
      <c r="K24" s="13">
        <f>K22+K23</f>
        <v>2800</v>
      </c>
    </row>
    <row r="25" spans="2:12" x14ac:dyDescent="0.25">
      <c r="B25" t="s">
        <v>93</v>
      </c>
      <c r="C25" s="8">
        <v>0</v>
      </c>
      <c r="F25" s="83" t="s">
        <v>116</v>
      </c>
      <c r="G25" s="83">
        <v>400</v>
      </c>
    </row>
    <row r="26" spans="2:12" x14ac:dyDescent="0.25">
      <c r="B26" t="s">
        <v>94</v>
      </c>
      <c r="C26" s="34">
        <v>0</v>
      </c>
      <c r="F26" t="s">
        <v>117</v>
      </c>
      <c r="G26" s="9">
        <v>225</v>
      </c>
      <c r="H26" s="38" t="s">
        <v>147</v>
      </c>
      <c r="J26" s="68" t="s">
        <v>234</v>
      </c>
    </row>
    <row r="27" spans="2:12" x14ac:dyDescent="0.25">
      <c r="B27" t="s">
        <v>95</v>
      </c>
      <c r="C27" s="4">
        <v>0</v>
      </c>
      <c r="F27" t="s">
        <v>115</v>
      </c>
      <c r="G27" s="9">
        <v>420</v>
      </c>
      <c r="J27" t="s">
        <v>67</v>
      </c>
      <c r="K27" s="3">
        <v>0</v>
      </c>
      <c r="L27" t="s">
        <v>68</v>
      </c>
    </row>
    <row r="28" spans="2:12" x14ac:dyDescent="0.25">
      <c r="F28" t="s">
        <v>57</v>
      </c>
      <c r="G28" s="26">
        <v>0.01</v>
      </c>
      <c r="J28" t="s">
        <v>66</v>
      </c>
      <c r="K28" s="20">
        <f>1-K27</f>
        <v>1</v>
      </c>
    </row>
    <row r="30" spans="2:12" x14ac:dyDescent="0.25">
      <c r="F30" s="1" t="s">
        <v>134</v>
      </c>
      <c r="J30" s="1" t="s">
        <v>35</v>
      </c>
    </row>
    <row r="31" spans="2:12" x14ac:dyDescent="0.25">
      <c r="F31" t="s">
        <v>144</v>
      </c>
      <c r="G31" s="26">
        <v>0.1</v>
      </c>
      <c r="J31" s="10" t="s">
        <v>124</v>
      </c>
      <c r="K31" s="9">
        <v>1650</v>
      </c>
    </row>
    <row r="32" spans="2:12" x14ac:dyDescent="0.25">
      <c r="F32" s="43" t="s">
        <v>25</v>
      </c>
      <c r="G32" s="44">
        <v>0.05</v>
      </c>
      <c r="H32" t="s">
        <v>156</v>
      </c>
      <c r="J32" s="10" t="s">
        <v>205</v>
      </c>
      <c r="K32" s="9">
        <v>1500</v>
      </c>
      <c r="L32" t="s">
        <v>204</v>
      </c>
    </row>
    <row r="33" spans="1:12" x14ac:dyDescent="0.25">
      <c r="A33" t="s">
        <v>206</v>
      </c>
      <c r="F33" s="43" t="s">
        <v>26</v>
      </c>
      <c r="G33" s="43">
        <v>0</v>
      </c>
      <c r="J33" s="10" t="s">
        <v>208</v>
      </c>
      <c r="K33" s="9">
        <v>0</v>
      </c>
      <c r="L33" t="s">
        <v>209</v>
      </c>
    </row>
    <row r="34" spans="1:12" x14ac:dyDescent="0.25">
      <c r="F34" t="s">
        <v>120</v>
      </c>
      <c r="G34" s="6">
        <v>3.5000000000000003E-2</v>
      </c>
      <c r="J34" s="10" t="s">
        <v>37</v>
      </c>
      <c r="K34" s="12">
        <f>SUM(K31:K33)</f>
        <v>3150</v>
      </c>
    </row>
    <row r="35" spans="1:12" x14ac:dyDescent="0.25">
      <c r="F35" t="s">
        <v>27</v>
      </c>
      <c r="G35" s="4">
        <v>25</v>
      </c>
      <c r="J35" s="10"/>
    </row>
    <row r="36" spans="1:12" x14ac:dyDescent="0.25">
      <c r="F36" t="s">
        <v>168</v>
      </c>
      <c r="G36" s="4">
        <v>2</v>
      </c>
      <c r="H36" t="s">
        <v>169</v>
      </c>
      <c r="J36" s="1" t="s">
        <v>32</v>
      </c>
      <c r="L36" t="s">
        <v>31</v>
      </c>
    </row>
    <row r="37" spans="1:12" x14ac:dyDescent="0.25">
      <c r="F37" t="s">
        <v>106</v>
      </c>
      <c r="G37" s="4">
        <v>2</v>
      </c>
      <c r="J37" s="10" t="s">
        <v>77</v>
      </c>
      <c r="K37" s="4">
        <v>3</v>
      </c>
    </row>
    <row r="38" spans="1:12" x14ac:dyDescent="0.25">
      <c r="F38" t="s">
        <v>28</v>
      </c>
      <c r="G38" s="7">
        <v>2.5000000000000001E-2</v>
      </c>
      <c r="J38" t="s">
        <v>33</v>
      </c>
      <c r="K38" s="6">
        <v>0</v>
      </c>
      <c r="L38" t="s">
        <v>122</v>
      </c>
    </row>
    <row r="39" spans="1:12" x14ac:dyDescent="0.25">
      <c r="F39" t="s">
        <v>30</v>
      </c>
      <c r="G39" s="4">
        <v>25</v>
      </c>
      <c r="J39" t="s">
        <v>130</v>
      </c>
      <c r="K39" s="4">
        <v>10</v>
      </c>
    </row>
    <row r="40" spans="1:12" x14ac:dyDescent="0.25">
      <c r="F40" t="s">
        <v>89</v>
      </c>
      <c r="G40" s="45">
        <f>1/$G$39</f>
        <v>0.04</v>
      </c>
      <c r="J40" t="s">
        <v>131</v>
      </c>
      <c r="K40" s="4">
        <v>20</v>
      </c>
    </row>
    <row r="41" spans="1:12" x14ac:dyDescent="0.25">
      <c r="F41" t="s">
        <v>121</v>
      </c>
      <c r="G41" s="27">
        <f>G34</f>
        <v>3.5000000000000003E-2</v>
      </c>
      <c r="J41" t="s">
        <v>132</v>
      </c>
      <c r="K41" s="4">
        <v>0</v>
      </c>
    </row>
    <row r="42" spans="1:12" x14ac:dyDescent="0.25">
      <c r="J42" t="s">
        <v>34</v>
      </c>
      <c r="K42" s="9">
        <v>1650</v>
      </c>
      <c r="L42" t="s">
        <v>211</v>
      </c>
    </row>
    <row r="43" spans="1:12" x14ac:dyDescent="0.25">
      <c r="F43" t="s">
        <v>198</v>
      </c>
      <c r="G43" s="4" t="s">
        <v>221</v>
      </c>
      <c r="H43" t="s">
        <v>10</v>
      </c>
      <c r="J43" t="s">
        <v>36</v>
      </c>
      <c r="K43" s="9">
        <v>100</v>
      </c>
    </row>
    <row r="44" spans="1:12" x14ac:dyDescent="0.25">
      <c r="J44" t="s">
        <v>38</v>
      </c>
      <c r="K44" s="12">
        <f>SUM(K42:K43)</f>
        <v>1750</v>
      </c>
      <c r="L44" t="s">
        <v>150</v>
      </c>
    </row>
    <row r="45" spans="1:12" x14ac:dyDescent="0.25">
      <c r="J45" s="37" t="s">
        <v>207</v>
      </c>
      <c r="K45" s="9">
        <f>60*$K$7</f>
        <v>120</v>
      </c>
      <c r="L45" t="s">
        <v>150</v>
      </c>
    </row>
    <row r="46" spans="1:12" x14ac:dyDescent="0.25">
      <c r="J46" s="37" t="s">
        <v>149</v>
      </c>
      <c r="K46" s="9">
        <f>150*$K$7</f>
        <v>300</v>
      </c>
      <c r="L46" t="s">
        <v>155</v>
      </c>
    </row>
    <row r="47" spans="1:12" x14ac:dyDescent="0.25">
      <c r="J47" t="s">
        <v>57</v>
      </c>
      <c r="K47" s="34">
        <v>0.01</v>
      </c>
      <c r="L47" t="s">
        <v>8</v>
      </c>
    </row>
    <row r="48" spans="1:12" x14ac:dyDescent="0.25">
      <c r="J48" t="s">
        <v>190</v>
      </c>
      <c r="K48" s="35">
        <v>0.01</v>
      </c>
      <c r="L48" t="s">
        <v>210</v>
      </c>
    </row>
  </sheetData>
  <mergeCells count="1">
    <mergeCell ref="L6:L7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5"/>
  <sheetViews>
    <sheetView zoomScale="85" zoomScaleNormal="85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A25" sqref="A25"/>
    </sheetView>
  </sheetViews>
  <sheetFormatPr defaultRowHeight="15" x14ac:dyDescent="0.25"/>
  <cols>
    <col min="1" max="1" width="38.140625" style="10" bestFit="1" customWidth="1"/>
    <col min="2" max="2" width="11.5703125" style="11" bestFit="1" customWidth="1"/>
    <col min="3" max="3" width="10.85546875" bestFit="1" customWidth="1"/>
    <col min="4" max="4" width="11.5703125" bestFit="1" customWidth="1"/>
    <col min="5" max="11" width="9.28515625" customWidth="1"/>
    <col min="12" max="12" width="10.7109375" customWidth="1"/>
    <col min="13" max="26" width="9.28515625" customWidth="1"/>
    <col min="27" max="27" width="11.5703125" bestFit="1" customWidth="1"/>
    <col min="28" max="28" width="12.85546875" style="69" customWidth="1"/>
  </cols>
  <sheetData>
    <row r="1" spans="1:28" x14ac:dyDescent="0.25">
      <c r="A1" s="10" t="s">
        <v>41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 s="69" t="s">
        <v>165</v>
      </c>
    </row>
    <row r="2" spans="1:28" x14ac:dyDescent="0.25">
      <c r="A2" s="1" t="s">
        <v>194</v>
      </c>
      <c r="B2" s="17"/>
    </row>
    <row r="3" spans="1:28" s="2" customFormat="1" x14ac:dyDescent="0.25">
      <c r="A3" s="22" t="s">
        <v>50</v>
      </c>
      <c r="B3" s="24"/>
      <c r="C3" s="2">
        <f>IF(INPUTS!C6="Y",INPUTS!C12,0)</f>
        <v>95000</v>
      </c>
      <c r="D3" s="2">
        <f>C3-(C3*INPUTS!$G$18)</f>
        <v>94050</v>
      </c>
      <c r="E3" s="2">
        <f>D3-(D3*INPUTS!$G$18)</f>
        <v>93109.5</v>
      </c>
      <c r="F3" s="2">
        <f>E3-(E3*INPUTS!$G$18)</f>
        <v>92178.404999999999</v>
      </c>
      <c r="G3" s="2">
        <f>F3-(F3*INPUTS!$G$18)</f>
        <v>91256.620949999997</v>
      </c>
      <c r="H3" s="2">
        <f>G3-(G3*INPUTS!$G$18)</f>
        <v>90344.054740499996</v>
      </c>
      <c r="I3" s="2">
        <f>H3-(H3*INPUTS!$G$18)</f>
        <v>89440.614193094996</v>
      </c>
      <c r="J3" s="2">
        <f>I3-(I3*INPUTS!$G$18)</f>
        <v>88546.208051164052</v>
      </c>
      <c r="K3" s="2">
        <f>J3-(J3*INPUTS!$G$18)</f>
        <v>87660.74597065241</v>
      </c>
      <c r="L3" s="2">
        <f>K3-(K3*INPUTS!$G$18)</f>
        <v>86784.138510945879</v>
      </c>
      <c r="M3" s="2">
        <f>L3-(L3*INPUTS!$G$18)</f>
        <v>85916.297125836427</v>
      </c>
      <c r="N3" s="2">
        <f>M3-(M3*INPUTS!$G$18)</f>
        <v>85057.13415457806</v>
      </c>
      <c r="O3" s="2">
        <f>N3-(N3*INPUTS!$G$18)</f>
        <v>84206.562813032273</v>
      </c>
      <c r="P3" s="2">
        <f>O3-(O3*INPUTS!$G$18)</f>
        <v>83364.497184901949</v>
      </c>
      <c r="Q3" s="2">
        <f>P3-(P3*INPUTS!$G$18)</f>
        <v>82530.852213052931</v>
      </c>
      <c r="R3" s="2">
        <f>Q3-(Q3*INPUTS!$G$18)</f>
        <v>81705.543690922408</v>
      </c>
      <c r="S3" s="2">
        <f>R3-(R3*INPUTS!$G$18)</f>
        <v>80888.48825401318</v>
      </c>
      <c r="T3" s="2">
        <f>S3-(S3*INPUTS!$G$18)</f>
        <v>80079.603371473044</v>
      </c>
      <c r="U3" s="2">
        <f>T3-(T3*INPUTS!$G$18)</f>
        <v>79278.807337758321</v>
      </c>
      <c r="V3" s="2">
        <f>U3-(U3*INPUTS!$G$18)</f>
        <v>78486.019264380739</v>
      </c>
      <c r="W3" s="2">
        <f>V3-(V3*INPUTS!$G$18)</f>
        <v>77701.159071736925</v>
      </c>
      <c r="X3" s="2">
        <f>W3-(W3*INPUTS!$G$18)</f>
        <v>76924.14748101955</v>
      </c>
      <c r="Y3" s="2">
        <f>X3-(X3*INPUTS!$G$18)</f>
        <v>76154.906006209349</v>
      </c>
      <c r="Z3" s="2">
        <f>Y3-(Y3*INPUTS!$G$18)</f>
        <v>75393.356946147251</v>
      </c>
      <c r="AA3" s="2">
        <f>Z3-(Z3*INPUTS!$G$18)</f>
        <v>74639.42337668578</v>
      </c>
      <c r="AB3" s="69"/>
    </row>
    <row r="4" spans="1:28" s="16" customFormat="1" x14ac:dyDescent="0.25">
      <c r="A4" s="23" t="s">
        <v>42</v>
      </c>
      <c r="B4" s="24"/>
      <c r="C4" s="16">
        <f>INPUTS!G9</f>
        <v>0.11</v>
      </c>
      <c r="D4" s="16">
        <f>C4+(C4*INPUTS!$G$10)</f>
        <v>0.11275</v>
      </c>
      <c r="E4" s="16">
        <f>D4+(D4*INPUTS!$G$10)</f>
        <v>0.11556875</v>
      </c>
      <c r="F4" s="16">
        <f>E4+(E4*INPUTS!$G$10)</f>
        <v>0.11845796875</v>
      </c>
      <c r="G4" s="16">
        <f>F4+(F4*INPUTS!$G$10)</f>
        <v>0.12141941796875</v>
      </c>
      <c r="H4" s="16">
        <f>G4+(G4*INPUTS!$G$10)</f>
        <v>0.12445490341796875</v>
      </c>
      <c r="I4" s="16">
        <f>H4+(H4*INPUTS!$G$10)</f>
        <v>0.12756627600341797</v>
      </c>
      <c r="J4" s="16">
        <f>I4+(I4*INPUTS!$G$10)</f>
        <v>0.13075543290350342</v>
      </c>
      <c r="K4" s="16">
        <f>J4+(J4*INPUTS!$G$10)</f>
        <v>0.134024318726091</v>
      </c>
      <c r="L4" s="16">
        <f>K4+(K4*INPUTS!$G$10)</f>
        <v>0.13737492669424328</v>
      </c>
      <c r="M4" s="16">
        <f>L4+(L4*INPUTS!$G$10)</f>
        <v>0.14080929986159937</v>
      </c>
      <c r="N4" s="16">
        <f>M4+(M4*INPUTS!$G$10)</f>
        <v>0.14432953235813936</v>
      </c>
      <c r="O4" s="16">
        <f>N4+(N4*INPUTS!$G$10)</f>
        <v>0.14793777066709285</v>
      </c>
      <c r="P4" s="16">
        <f>O4+(O4*INPUTS!$G$10)</f>
        <v>0.15163621493377016</v>
      </c>
      <c r="Q4" s="16">
        <f>P4+(P4*INPUTS!$G$10)</f>
        <v>0.15542712030711442</v>
      </c>
      <c r="R4" s="16">
        <f>Q4+(Q4*INPUTS!$G$10)</f>
        <v>0.15931279831479228</v>
      </c>
      <c r="S4" s="16">
        <f>R4+(R4*INPUTS!$G$10)</f>
        <v>0.16329561827266209</v>
      </c>
      <c r="T4" s="16">
        <f>S4+(S4*INPUTS!$G$10)</f>
        <v>0.16737800872947864</v>
      </c>
      <c r="U4" s="16">
        <f>T4+(T4*INPUTS!$G$10)</f>
        <v>0.1715624589477156</v>
      </c>
      <c r="V4" s="16">
        <f>U4+(U4*INPUTS!$G$10)</f>
        <v>0.1758515204214085</v>
      </c>
      <c r="W4" s="16">
        <f>V4+(V4*INPUTS!$G$10)</f>
        <v>0.18024780843194371</v>
      </c>
      <c r="X4" s="16">
        <f>W4+(W4*INPUTS!$G$10)</f>
        <v>0.1847540036427423</v>
      </c>
      <c r="Y4" s="16">
        <f>X4+(X4*INPUTS!$G$10)</f>
        <v>0.18937285373381085</v>
      </c>
      <c r="Z4" s="16">
        <f>Y4+(Y4*INPUTS!$G$10)</f>
        <v>0.19410717507715614</v>
      </c>
      <c r="AA4" s="16">
        <f>Z4+(Z4*INPUTS!$G$10)</f>
        <v>0.19895985445408504</v>
      </c>
      <c r="AB4" s="69"/>
    </row>
    <row r="5" spans="1:28" s="16" customFormat="1" x14ac:dyDescent="0.25">
      <c r="A5" s="23" t="s">
        <v>48</v>
      </c>
      <c r="B5" s="24"/>
      <c r="C5" s="2">
        <f>C3*INPUTS!$C$8</f>
        <v>18999.999999999996</v>
      </c>
      <c r="D5" s="2">
        <f>D3*INPUTS!$C$8</f>
        <v>18809.999999999996</v>
      </c>
      <c r="E5" s="2">
        <f>E3*INPUTS!$C$8</f>
        <v>18621.899999999994</v>
      </c>
      <c r="F5" s="2">
        <f>F3*INPUTS!$C$8</f>
        <v>18435.680999999997</v>
      </c>
      <c r="G5" s="2">
        <f>G3*INPUTS!$C$8</f>
        <v>18251.324189999996</v>
      </c>
      <c r="H5" s="2">
        <f>H3*INPUTS!$C$8</f>
        <v>18068.810948099996</v>
      </c>
      <c r="I5" s="2">
        <f>I3*INPUTS!$C$8</f>
        <v>17888.122838618994</v>
      </c>
      <c r="J5" s="2">
        <f>J3*INPUTS!$C$8</f>
        <v>17709.241610232806</v>
      </c>
      <c r="K5" s="2">
        <f>K3*INPUTS!$C$8</f>
        <v>17532.149194130478</v>
      </c>
      <c r="L5" s="2">
        <f>L3*INPUTS!$C$8</f>
        <v>17356.827702189174</v>
      </c>
      <c r="M5" s="2">
        <f>M3*INPUTS!$C$8</f>
        <v>17183.259425167282</v>
      </c>
      <c r="N5" s="2">
        <f>N3*INPUTS!$C$8</f>
        <v>17011.426830915607</v>
      </c>
      <c r="O5" s="2">
        <f>O3*INPUTS!$C$8</f>
        <v>16841.31256260645</v>
      </c>
      <c r="P5" s="2">
        <f>P3*INPUTS!$C$8</f>
        <v>16672.899436980388</v>
      </c>
      <c r="Q5" s="2">
        <f>Q3*INPUTS!$C$8</f>
        <v>16506.170442610583</v>
      </c>
      <c r="R5" s="2">
        <f>R3*INPUTS!$C$8</f>
        <v>16341.108738184477</v>
      </c>
      <c r="S5" s="2">
        <f>S3*INPUTS!$C$8</f>
        <v>16177.697650802633</v>
      </c>
      <c r="T5" s="2">
        <f>T3*INPUTS!$C$8</f>
        <v>16015.920674294604</v>
      </c>
      <c r="U5" s="2">
        <f>U3*INPUTS!$C$8</f>
        <v>15855.76146755166</v>
      </c>
      <c r="V5" s="2">
        <f>V3*INPUTS!$C$8</f>
        <v>15697.203852876144</v>
      </c>
      <c r="W5" s="2">
        <f>W3*INPUTS!$C$8</f>
        <v>15540.231814347382</v>
      </c>
      <c r="X5" s="2">
        <f>X3*INPUTS!$C$8</f>
        <v>15384.829496203907</v>
      </c>
      <c r="Y5" s="2">
        <f>Y3*INPUTS!$C$8</f>
        <v>15230.981201241866</v>
      </c>
      <c r="Z5" s="2">
        <f>Z3*INPUTS!$C$8</f>
        <v>15078.671389229447</v>
      </c>
      <c r="AA5" s="2">
        <f>AA3*INPUTS!$C$8</f>
        <v>14927.884675337153</v>
      </c>
      <c r="AB5" s="69"/>
    </row>
    <row r="6" spans="1:28" s="16" customFormat="1" x14ac:dyDescent="0.25">
      <c r="A6" s="56" t="s">
        <v>177</v>
      </c>
      <c r="B6" s="24"/>
      <c r="C6" s="16">
        <f>INPUTS!G7</f>
        <v>3.6999999999999998E-2</v>
      </c>
      <c r="D6" s="15">
        <f>C6+(C6*INPUTS!$G$12)</f>
        <v>3.7925E-2</v>
      </c>
      <c r="E6" s="15">
        <f>D6+(D6*INPUTS!$G$12)</f>
        <v>3.8873125000000001E-2</v>
      </c>
      <c r="F6" s="15">
        <f>E6+(E6*INPUTS!$G$12)</f>
        <v>3.9844953124999999E-2</v>
      </c>
      <c r="G6" s="15">
        <f>F6+(F6*INPUTS!$G$12)</f>
        <v>4.0841076953125E-2</v>
      </c>
      <c r="H6" s="15">
        <f>G6+(G6*INPUTS!$G$12)</f>
        <v>4.1862103876953126E-2</v>
      </c>
      <c r="I6" s="15">
        <f>H6+(H6*INPUTS!$G$12)</f>
        <v>4.2908656473876955E-2</v>
      </c>
      <c r="J6" s="15">
        <f>I6+(I6*INPUTS!$G$12)</f>
        <v>4.3981372885723881E-2</v>
      </c>
      <c r="K6" s="15">
        <f>J6+(J6*INPUTS!$G$12)</f>
        <v>4.5080907207866977E-2</v>
      </c>
      <c r="L6" s="15">
        <f>K6+(K6*INPUTS!$G$12)</f>
        <v>4.6207929888063652E-2</v>
      </c>
      <c r="M6" s="15">
        <f>L6+(L6*INPUTS!$G$12)</f>
        <v>4.7363128135265241E-2</v>
      </c>
      <c r="N6" s="15">
        <f>M6+(M6*INPUTS!$G$12)</f>
        <v>4.854720633864687E-2</v>
      </c>
      <c r="O6" s="15">
        <f>N6+(N6*INPUTS!$G$12)</f>
        <v>4.9760886497113042E-2</v>
      </c>
      <c r="P6" s="15">
        <f>O6+(O6*INPUTS!$G$12)</f>
        <v>5.1004908659540868E-2</v>
      </c>
      <c r="Q6" s="15">
        <f>P6+(P6*INPUTS!$G$12)</f>
        <v>5.2280031376029393E-2</v>
      </c>
      <c r="R6" s="15">
        <f>Q6+(Q6*INPUTS!$G$12)</f>
        <v>5.3587032160430127E-2</v>
      </c>
      <c r="S6" s="15">
        <f>R6+(R6*INPUTS!$G$12)</f>
        <v>5.492670796444088E-2</v>
      </c>
      <c r="T6" s="15">
        <f>S6+(S6*INPUTS!$G$12)</f>
        <v>5.62998756635519E-2</v>
      </c>
      <c r="U6" s="15">
        <f>T6+(T6*INPUTS!$G$12)</f>
        <v>5.7707372555140697E-2</v>
      </c>
      <c r="V6" s="15">
        <f>U6+(U6*INPUTS!$G$12)</f>
        <v>5.9150056869019217E-2</v>
      </c>
      <c r="W6" s="15">
        <f>V6+(V6*INPUTS!$G$12)</f>
        <v>6.0628808290744698E-2</v>
      </c>
      <c r="X6" s="15">
        <f>W6+(W6*INPUTS!$G$12)</f>
        <v>6.2144528498013316E-2</v>
      </c>
      <c r="Y6" s="15">
        <f>X6+(X6*INPUTS!$G$12)</f>
        <v>6.3698141710463646E-2</v>
      </c>
      <c r="Z6" s="15">
        <f>Y6+(Y6*INPUTS!$G$12)</f>
        <v>6.5290595253225239E-2</v>
      </c>
      <c r="AA6" s="15">
        <f>Z6+(Z6*INPUTS!$G$12)</f>
        <v>6.6922860134555867E-2</v>
      </c>
      <c r="AB6" s="69"/>
    </row>
    <row r="7" spans="1:28" s="16" customFormat="1" x14ac:dyDescent="0.25">
      <c r="A7" s="23" t="s">
        <v>9</v>
      </c>
      <c r="B7" s="24"/>
      <c r="C7" s="16">
        <f>INPUTS!$G$11</f>
        <v>0.05</v>
      </c>
      <c r="D7" s="15">
        <f>C7+(C7*INPUTS!$G$12)</f>
        <v>5.1250000000000004E-2</v>
      </c>
      <c r="E7" s="15">
        <f>D7+(D7*INPUTS!$G$12)</f>
        <v>5.2531250000000002E-2</v>
      </c>
      <c r="F7" s="15">
        <f>E7+(E7*INPUTS!$G$12)</f>
        <v>5.3844531250000001E-2</v>
      </c>
      <c r="G7" s="15">
        <f>F7+(F7*INPUTS!$G$12)</f>
        <v>5.5190644531249999E-2</v>
      </c>
      <c r="H7" s="15">
        <f>G7+(G7*INPUTS!$G$12)</f>
        <v>5.6570410644531249E-2</v>
      </c>
      <c r="I7" s="15">
        <f>H7+(H7*INPUTS!$G$12)</f>
        <v>5.7984670910644534E-2</v>
      </c>
      <c r="J7" s="15">
        <f>I7+(I7*INPUTS!$G$12)</f>
        <v>5.943428768341065E-2</v>
      </c>
      <c r="K7" s="15">
        <f>J7+(J7*INPUTS!$G$12)</f>
        <v>6.0920144875495914E-2</v>
      </c>
      <c r="L7" s="15">
        <f>K7+(K7*INPUTS!$G$12)</f>
        <v>6.2443148497383312E-2</v>
      </c>
      <c r="M7" s="15">
        <f>L7+(L7*INPUTS!$G$12)</f>
        <v>6.4004227209817896E-2</v>
      </c>
      <c r="N7" s="15">
        <f>M7+(M7*INPUTS!$G$12)</f>
        <v>6.5604332890063344E-2</v>
      </c>
      <c r="O7" s="15">
        <f>N7+(N7*INPUTS!$G$12)</f>
        <v>6.7244441212314932E-2</v>
      </c>
      <c r="P7" s="15">
        <f>O7+(O7*INPUTS!$G$12)</f>
        <v>6.8925552242622812E-2</v>
      </c>
      <c r="Q7" s="15">
        <f>P7+(P7*INPUTS!$G$12)</f>
        <v>7.0648691048688386E-2</v>
      </c>
      <c r="R7" s="15">
        <f>Q7+(Q7*INPUTS!$G$12)</f>
        <v>7.2414908324905602E-2</v>
      </c>
      <c r="S7" s="15">
        <f>R7+(R7*INPUTS!$G$12)</f>
        <v>7.4225281033028237E-2</v>
      </c>
      <c r="T7" s="15">
        <f>S7+(S7*INPUTS!$G$12)</f>
        <v>7.608091305885395E-2</v>
      </c>
      <c r="U7" s="15">
        <f>T7+(T7*INPUTS!$G$12)</f>
        <v>7.7982935885325302E-2</v>
      </c>
      <c r="V7" s="15">
        <f>U7+(U7*INPUTS!$G$12)</f>
        <v>7.993250928245843E-2</v>
      </c>
      <c r="W7" s="15">
        <f>V7+(V7*INPUTS!$G$12)</f>
        <v>8.1930822014519886E-2</v>
      </c>
      <c r="X7" s="15">
        <f>W7+(W7*INPUTS!$G$12)</f>
        <v>8.3979092564882882E-2</v>
      </c>
      <c r="Y7" s="15">
        <f>X7+(X7*INPUTS!$G$12)</f>
        <v>8.607856987900496E-2</v>
      </c>
      <c r="Z7" s="15">
        <f>Y7+(Y7*INPUTS!$G$12)</f>
        <v>8.8230534125980087E-2</v>
      </c>
      <c r="AA7" s="15">
        <f>Z7+(Z7*INPUTS!$G$12)</f>
        <v>9.0436297479129596E-2</v>
      </c>
      <c r="AB7" s="69"/>
    </row>
    <row r="8" spans="1:28" s="16" customFormat="1" x14ac:dyDescent="0.25">
      <c r="A8" s="23"/>
      <c r="B8" s="2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69"/>
    </row>
    <row r="9" spans="1:28" x14ac:dyDescent="0.25">
      <c r="A9" s="10" t="s">
        <v>61</v>
      </c>
      <c r="C9" s="2">
        <f>INPUTS!$K$6*INPUTS!$K$7*INPUTS!$K$8*INPUTS!$K$11*INPUTS!$K$12</f>
        <v>5600</v>
      </c>
      <c r="D9" s="2">
        <f>C9+(C9*INPUTS!$K$15)</f>
        <v>6160</v>
      </c>
      <c r="E9" s="2">
        <f>D9+(D9*INPUTS!$K$14)</f>
        <v>6776</v>
      </c>
      <c r="F9" s="2">
        <f>E9+(E9*INPUTS!$K$14)</f>
        <v>7453.6</v>
      </c>
      <c r="G9" s="2">
        <f>F9+(F9*INPUTS!$K$14)</f>
        <v>8198.9600000000009</v>
      </c>
      <c r="H9" s="2">
        <f>G9+(G9*INPUTS!$K$14)</f>
        <v>9018.8560000000016</v>
      </c>
      <c r="I9" s="2">
        <f>H9+(H9*INPUTS!$K$14)</f>
        <v>9920.7416000000012</v>
      </c>
      <c r="J9" s="2">
        <f>I9+(I9*INPUTS!$K$14)</f>
        <v>10912.815760000001</v>
      </c>
      <c r="K9" s="2">
        <f>J9+(J9*INPUTS!$K$14)</f>
        <v>12004.097336000001</v>
      </c>
      <c r="L9" s="2">
        <f>K9+(K9*INPUTS!$K$14)</f>
        <v>13204.5070696</v>
      </c>
      <c r="M9" s="2">
        <f>L9+(L9*INPUTS!$K$14)</f>
        <v>14524.957776560001</v>
      </c>
      <c r="N9" s="2">
        <f>M9+(M9*INPUTS!$K$14)</f>
        <v>15977.453554216001</v>
      </c>
      <c r="O9" s="2">
        <f>N9+(N9*INPUTS!$K$14)</f>
        <v>17575.198909637602</v>
      </c>
      <c r="P9" s="2">
        <f>O9+(O9*INPUTS!$K$14)</f>
        <v>19332.71880060136</v>
      </c>
      <c r="Q9" s="2">
        <f>P9+(P9*INPUTS!$K$14)</f>
        <v>21265.990680661496</v>
      </c>
      <c r="R9" s="2">
        <f>Q9+(Q9*INPUTS!$K$14)</f>
        <v>23392.589748727645</v>
      </c>
      <c r="S9" s="2">
        <f>R9+(R9*INPUTS!$K$14)</f>
        <v>25731.848723600411</v>
      </c>
      <c r="T9" s="2">
        <f>S9+(S9*INPUTS!$K$14)</f>
        <v>28305.033595960453</v>
      </c>
      <c r="U9" s="2">
        <f>T9+(T9*INPUTS!$K$14)</f>
        <v>31135.536955556498</v>
      </c>
      <c r="V9" s="2">
        <f>U9+(U9*INPUTS!$K$14)</f>
        <v>34249.09065111215</v>
      </c>
      <c r="W9" s="2">
        <f>V9+(V9*INPUTS!$K$14)</f>
        <v>37673.999716223363</v>
      </c>
      <c r="X9" s="2">
        <f>W9+(W9*INPUTS!$K$14)</f>
        <v>41441.399687845696</v>
      </c>
      <c r="Y9" s="2">
        <f>X9+(X9*INPUTS!$K$14)</f>
        <v>45585.539656630266</v>
      </c>
      <c r="Z9" s="2">
        <f>Y9+(Y9*INPUTS!$K$14)</f>
        <v>50144.093622293294</v>
      </c>
      <c r="AA9" s="2">
        <f>Z9+(Z9*INPUTS!$K$14)</f>
        <v>55158.502984522624</v>
      </c>
    </row>
    <row r="10" spans="1:28" x14ac:dyDescent="0.25">
      <c r="A10" s="10" t="s">
        <v>62</v>
      </c>
      <c r="C10" s="2">
        <f>INPUTS!$K$6*INPUTS!$K$7*INPUTS!$K$8*INPUTS!$K$11*INPUTS!$K$13</f>
        <v>0</v>
      </c>
      <c r="D10" s="2">
        <f>C10+(C10*INPUTS!$K$14)</f>
        <v>0</v>
      </c>
      <c r="E10" s="2">
        <f>D10+(D10*INPUTS!$K$14)</f>
        <v>0</v>
      </c>
      <c r="F10" s="2">
        <f>E10+(E10*INPUTS!$K$14)</f>
        <v>0</v>
      </c>
      <c r="G10" s="2">
        <f>F10+(F10*INPUTS!$K$14)</f>
        <v>0</v>
      </c>
      <c r="H10" s="2">
        <f>G10+(G10*INPUTS!$K$14)</f>
        <v>0</v>
      </c>
      <c r="I10" s="2">
        <f>H10+(H10*INPUTS!$K$14)</f>
        <v>0</v>
      </c>
      <c r="J10" s="2">
        <f>I10+(I10*INPUTS!$K$14)</f>
        <v>0</v>
      </c>
      <c r="K10" s="2">
        <f>J10+(J10*INPUTS!$K$14)</f>
        <v>0</v>
      </c>
      <c r="L10" s="2">
        <f>K10+(K10*INPUTS!$K$14)</f>
        <v>0</v>
      </c>
      <c r="M10" s="2">
        <f>L10+(L10*INPUTS!$K$14)</f>
        <v>0</v>
      </c>
      <c r="N10" s="2">
        <f>M10+(M10*INPUTS!$K$14)</f>
        <v>0</v>
      </c>
      <c r="O10" s="2">
        <f>N10+(N10*INPUTS!$K$14)</f>
        <v>0</v>
      </c>
      <c r="P10" s="2">
        <f>O10+(O10*INPUTS!$K$14)</f>
        <v>0</v>
      </c>
      <c r="Q10" s="2">
        <f>P10+(P10*INPUTS!$K$14)</f>
        <v>0</v>
      </c>
      <c r="R10" s="2">
        <f>Q10+(Q10*INPUTS!$K$14)</f>
        <v>0</v>
      </c>
      <c r="S10" s="2">
        <f>R10+(R10*INPUTS!$K$14)</f>
        <v>0</v>
      </c>
      <c r="T10" s="2">
        <f>S10+(S10*INPUTS!$K$14)</f>
        <v>0</v>
      </c>
      <c r="U10" s="2">
        <f>T10+(T10*INPUTS!$K$14)</f>
        <v>0</v>
      </c>
      <c r="V10" s="2">
        <f>U10+(U10*INPUTS!$K$14)</f>
        <v>0</v>
      </c>
      <c r="W10" s="2">
        <f>V10+(V10*INPUTS!$K$14)</f>
        <v>0</v>
      </c>
      <c r="X10" s="2">
        <f>W10+(W10*INPUTS!$K$14)</f>
        <v>0</v>
      </c>
      <c r="Y10" s="2">
        <f>X10+(X10*INPUTS!$K$14)</f>
        <v>0</v>
      </c>
      <c r="Z10" s="2">
        <f>Y10+(Y10*INPUTS!$K$14)</f>
        <v>0</v>
      </c>
      <c r="AA10" s="2">
        <f>Z10+(Z10*INPUTS!$K$14)</f>
        <v>0</v>
      </c>
    </row>
    <row r="11" spans="1:28" x14ac:dyDescent="0.25">
      <c r="A11" s="10" t="s">
        <v>76</v>
      </c>
      <c r="C11" s="2">
        <f t="shared" ref="C11:AA11" si="0">SUM(C9:C10)</f>
        <v>5600</v>
      </c>
      <c r="D11" s="2">
        <f t="shared" si="0"/>
        <v>6160</v>
      </c>
      <c r="E11" s="2">
        <f t="shared" si="0"/>
        <v>6776</v>
      </c>
      <c r="F11" s="2">
        <f t="shared" si="0"/>
        <v>7453.6</v>
      </c>
      <c r="G11" s="2">
        <f t="shared" si="0"/>
        <v>8198.9600000000009</v>
      </c>
      <c r="H11" s="2">
        <f t="shared" si="0"/>
        <v>9018.8560000000016</v>
      </c>
      <c r="I11" s="2">
        <f t="shared" si="0"/>
        <v>9920.7416000000012</v>
      </c>
      <c r="J11" s="2">
        <f t="shared" si="0"/>
        <v>10912.815760000001</v>
      </c>
      <c r="K11" s="2">
        <f t="shared" si="0"/>
        <v>12004.097336000001</v>
      </c>
      <c r="L11" s="2">
        <f t="shared" si="0"/>
        <v>13204.5070696</v>
      </c>
      <c r="M11" s="2">
        <f t="shared" si="0"/>
        <v>14524.957776560001</v>
      </c>
      <c r="N11" s="2">
        <f t="shared" si="0"/>
        <v>15977.453554216001</v>
      </c>
      <c r="O11" s="2">
        <f t="shared" si="0"/>
        <v>17575.198909637602</v>
      </c>
      <c r="P11" s="2">
        <f t="shared" si="0"/>
        <v>19332.71880060136</v>
      </c>
      <c r="Q11" s="2">
        <f t="shared" si="0"/>
        <v>21265.990680661496</v>
      </c>
      <c r="R11" s="2">
        <f t="shared" si="0"/>
        <v>23392.589748727645</v>
      </c>
      <c r="S11" s="2">
        <f t="shared" si="0"/>
        <v>25731.848723600411</v>
      </c>
      <c r="T11" s="2">
        <f t="shared" si="0"/>
        <v>28305.033595960453</v>
      </c>
      <c r="U11" s="2">
        <f t="shared" si="0"/>
        <v>31135.536955556498</v>
      </c>
      <c r="V11" s="2">
        <f t="shared" si="0"/>
        <v>34249.09065111215</v>
      </c>
      <c r="W11" s="2">
        <f t="shared" si="0"/>
        <v>37673.999716223363</v>
      </c>
      <c r="X11" s="2">
        <f t="shared" si="0"/>
        <v>41441.399687845696</v>
      </c>
      <c r="Y11" s="2">
        <f t="shared" si="0"/>
        <v>45585.539656630266</v>
      </c>
      <c r="Z11" s="2">
        <f t="shared" si="0"/>
        <v>50144.093622293294</v>
      </c>
      <c r="AA11" s="2">
        <f t="shared" si="0"/>
        <v>55158.502984522624</v>
      </c>
    </row>
    <row r="12" spans="1:28" x14ac:dyDescent="0.25">
      <c r="A12" s="10" t="s">
        <v>184</v>
      </c>
      <c r="C12" s="15">
        <f>INPUTS!$K$18</f>
        <v>0.20833333333333334</v>
      </c>
      <c r="D12" s="15">
        <f>C12+(C12*INPUTS!$K$20)</f>
        <v>0.21354166666666669</v>
      </c>
      <c r="E12" s="15">
        <f>D12+(D12*INPUTS!$K$20)</f>
        <v>0.21888020833333335</v>
      </c>
      <c r="F12" s="15">
        <f>E12+(E12*INPUTS!$K$20)</f>
        <v>0.22435221354166668</v>
      </c>
      <c r="G12" s="15">
        <f>F12+(F12*INPUTS!$K$20)</f>
        <v>0.22996101888020834</v>
      </c>
      <c r="H12" s="15">
        <f>G12+(G12*INPUTS!$K$20)</f>
        <v>0.23571004435221354</v>
      </c>
      <c r="I12" s="15">
        <f>H12+(H12*INPUTS!$K$20)</f>
        <v>0.24160279546101887</v>
      </c>
      <c r="J12" s="15">
        <f>I12+(I12*INPUTS!$K$20)</f>
        <v>0.24764286534754434</v>
      </c>
      <c r="K12" s="15">
        <f>J12+(J12*INPUTS!$K$20)</f>
        <v>0.25383393698123297</v>
      </c>
      <c r="L12" s="15">
        <f>K12+(K12*INPUTS!$K$20)</f>
        <v>0.26017978540576381</v>
      </c>
      <c r="M12" s="15">
        <f>L12+(L12*INPUTS!$K$20)</f>
        <v>0.26668428004090788</v>
      </c>
      <c r="N12" s="15">
        <f>M12+(M12*INPUTS!$K$20)</f>
        <v>0.27335138704193057</v>
      </c>
      <c r="O12" s="15">
        <f>N12+(N12*INPUTS!$K$20)</f>
        <v>0.28018517171797885</v>
      </c>
      <c r="P12" s="15">
        <f>O12+(O12*INPUTS!$K$20)</f>
        <v>0.28718980101092834</v>
      </c>
      <c r="Q12" s="15">
        <f>P12+(P12*INPUTS!$K$20)</f>
        <v>0.29436954603620152</v>
      </c>
      <c r="R12" s="15">
        <f>Q12+(Q12*INPUTS!$K$20)</f>
        <v>0.30172878468710657</v>
      </c>
      <c r="S12" s="15">
        <f>R12+(R12*INPUTS!$K$20)</f>
        <v>0.30927200430428425</v>
      </c>
      <c r="T12" s="15">
        <f>S12+(S12*INPUTS!$K$20)</f>
        <v>0.31700380441189135</v>
      </c>
      <c r="U12" s="15">
        <f>T12+(T12*INPUTS!$K$20)</f>
        <v>0.32492889952218862</v>
      </c>
      <c r="V12" s="15">
        <f>U12+(U12*INPUTS!$K$20)</f>
        <v>0.33305212201024331</v>
      </c>
      <c r="W12" s="15">
        <f>V12+(V12*INPUTS!$K$20)</f>
        <v>0.34137842506049937</v>
      </c>
      <c r="X12" s="15">
        <f>W12+(W12*INPUTS!$K$20)</f>
        <v>0.34991288568701184</v>
      </c>
      <c r="Y12" s="15">
        <f>X12+(X12*INPUTS!$K$20)</f>
        <v>0.35866070782918713</v>
      </c>
      <c r="Z12" s="15">
        <f>Y12+(Y12*INPUTS!$K$20)</f>
        <v>0.36762722552491683</v>
      </c>
      <c r="AA12" s="15">
        <f>Z12+(Z12*INPUTS!$K$20)</f>
        <v>0.37681790616303973</v>
      </c>
    </row>
    <row r="13" spans="1:28" x14ac:dyDescent="0.25">
      <c r="A13" s="10" t="s">
        <v>185</v>
      </c>
      <c r="C13" s="15">
        <f>INPUTS!$K$19</f>
        <v>0</v>
      </c>
      <c r="D13" s="15">
        <f>C13+(C13*INPUTS!$K$21)</f>
        <v>0</v>
      </c>
      <c r="E13" s="15">
        <f>D13+(D13*INPUTS!$K$21)</f>
        <v>0</v>
      </c>
      <c r="F13" s="15">
        <f>E13+(E13*INPUTS!$K$21)</f>
        <v>0</v>
      </c>
      <c r="G13" s="15">
        <f>F13+(F13*INPUTS!$K$21)</f>
        <v>0</v>
      </c>
      <c r="H13" s="15">
        <f>G13+(G13*INPUTS!$K$21)</f>
        <v>0</v>
      </c>
      <c r="I13" s="15">
        <f>H13+(H13*INPUTS!$K$21)</f>
        <v>0</v>
      </c>
      <c r="J13" s="15">
        <f>I13+(I13*INPUTS!$K$21)</f>
        <v>0</v>
      </c>
      <c r="K13" s="15">
        <f>J13+(J13*INPUTS!$K$21)</f>
        <v>0</v>
      </c>
      <c r="L13" s="15">
        <f>K13+(K13*INPUTS!$K$21)</f>
        <v>0</v>
      </c>
      <c r="M13" s="15">
        <f>L13+(L13*INPUTS!$K$21)</f>
        <v>0</v>
      </c>
      <c r="N13" s="15">
        <f>M13+(M13*INPUTS!$K$21)</f>
        <v>0</v>
      </c>
      <c r="O13" s="15">
        <f>N13+(N13*INPUTS!$K$21)</f>
        <v>0</v>
      </c>
      <c r="P13" s="15">
        <f>O13+(O13*INPUTS!$K$21)</f>
        <v>0</v>
      </c>
      <c r="Q13" s="15">
        <f>P13+(P13*INPUTS!$K$21)</f>
        <v>0</v>
      </c>
      <c r="R13" s="15">
        <f>Q13+(Q13*INPUTS!$K$21)</f>
        <v>0</v>
      </c>
      <c r="S13" s="15">
        <f>R13+(R13*INPUTS!$K$21)</f>
        <v>0</v>
      </c>
      <c r="T13" s="15">
        <f>S13+(S13*INPUTS!$K$21)</f>
        <v>0</v>
      </c>
      <c r="U13" s="15">
        <f>T13+(T13*INPUTS!$K$21)</f>
        <v>0</v>
      </c>
      <c r="V13" s="15">
        <f>U13+(U13*INPUTS!$K$21)</f>
        <v>0</v>
      </c>
      <c r="W13" s="15">
        <f>V13+(V13*INPUTS!$K$21)</f>
        <v>0</v>
      </c>
      <c r="X13" s="15">
        <f>W13+(W13*INPUTS!$K$21)</f>
        <v>0</v>
      </c>
      <c r="Y13" s="15">
        <f>X13+(X13*INPUTS!$K$21)</f>
        <v>0</v>
      </c>
      <c r="Z13" s="15">
        <f>Y13+(Y13*INPUTS!$K$21)</f>
        <v>0</v>
      </c>
      <c r="AA13" s="15">
        <f>Z13+(Z13*INPUTS!$K$21)</f>
        <v>0</v>
      </c>
    </row>
    <row r="14" spans="1:28" x14ac:dyDescent="0.25">
      <c r="A14" s="10" t="s">
        <v>192</v>
      </c>
      <c r="C14" s="15">
        <f>INPUTS!$C$17</f>
        <v>0.15</v>
      </c>
      <c r="D14" s="15">
        <f>C14+(C14*INPUTS!$G$38)</f>
        <v>0.15375</v>
      </c>
      <c r="E14" s="15">
        <f>D14+(D14*INPUTS!$G$38)</f>
        <v>0.15759375</v>
      </c>
      <c r="F14" s="15">
        <f>E14+(E14*INPUTS!$G$38)</f>
        <v>0.16153359375000001</v>
      </c>
      <c r="G14" s="15">
        <f>F14+(F14*INPUTS!$G$38)</f>
        <v>0.16557193359375</v>
      </c>
      <c r="H14" s="15">
        <f>G14+(G14*INPUTS!$G$38)</f>
        <v>0.16971123193359375</v>
      </c>
      <c r="I14" s="15">
        <f>H14+(H14*INPUTS!$G$38)</f>
        <v>0.17395401273193359</v>
      </c>
      <c r="J14" s="15">
        <f>I14+(I14*INPUTS!$G$38)</f>
        <v>0.17830286305023194</v>
      </c>
      <c r="K14" s="15">
        <f>J14+(J14*INPUTS!$G$38)</f>
        <v>0.18276043462648772</v>
      </c>
      <c r="L14" s="15">
        <f>K14+(K14*INPUTS!$G$38)</f>
        <v>0.18732944549214992</v>
      </c>
      <c r="M14" s="15">
        <f>L14+(L14*INPUTS!$G$38)</f>
        <v>0.19201268162945367</v>
      </c>
      <c r="N14" s="15">
        <f>M14+(M14*INPUTS!$G$38)</f>
        <v>0.19681299867019</v>
      </c>
      <c r="O14" s="15">
        <f>N14+(N14*INPUTS!$G$38)</f>
        <v>0.20173332363694477</v>
      </c>
      <c r="P14" s="15">
        <f>O14+(O14*INPUTS!$G$38)</f>
        <v>0.20677665672786838</v>
      </c>
      <c r="Q14" s="15">
        <f>P14+(P14*INPUTS!$G$38)</f>
        <v>0.21194607314606509</v>
      </c>
      <c r="R14" s="15">
        <f>Q14+(Q14*INPUTS!$G$38)</f>
        <v>0.21724472497471672</v>
      </c>
      <c r="S14" s="15">
        <f>R14+(R14*INPUTS!$G$38)</f>
        <v>0.22267584309908464</v>
      </c>
      <c r="T14" s="15">
        <f>S14+(S14*INPUTS!$G$38)</f>
        <v>0.22824273917656177</v>
      </c>
      <c r="U14" s="15">
        <f>T14+(T14*INPUTS!$G$38)</f>
        <v>0.23394880765597581</v>
      </c>
      <c r="V14" s="15">
        <f>U14+(U14*INPUTS!$G$38)</f>
        <v>0.23979752784737521</v>
      </c>
      <c r="W14" s="15">
        <f>V14+(V14*INPUTS!$G$38)</f>
        <v>0.24579246604355959</v>
      </c>
      <c r="X14" s="15">
        <f>W14+(W14*INPUTS!$G$38)</f>
        <v>0.25193727769464858</v>
      </c>
      <c r="Y14" s="15">
        <f>X14+(X14*INPUTS!$G$38)</f>
        <v>0.25823570963701481</v>
      </c>
      <c r="Z14" s="15">
        <f>Y14+(Y14*INPUTS!$G$38)</f>
        <v>0.2646916023779402</v>
      </c>
      <c r="AA14" s="15">
        <f>Z14+(Z14*INPUTS!$G$38)</f>
        <v>0.2713088924373887</v>
      </c>
    </row>
    <row r="15" spans="1:28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8" x14ac:dyDescent="0.25">
      <c r="A16" s="1" t="s">
        <v>159</v>
      </c>
    </row>
    <row r="17" spans="1:28" x14ac:dyDescent="0.25">
      <c r="A17" s="1" t="s">
        <v>43</v>
      </c>
      <c r="B17" s="17"/>
    </row>
    <row r="18" spans="1:28" s="11" customFormat="1" x14ac:dyDescent="0.25">
      <c r="A18" s="24" t="s">
        <v>44</v>
      </c>
      <c r="B18" s="24"/>
      <c r="C18" s="18">
        <f>C3*C4*INPUTS!$C$7</f>
        <v>8360</v>
      </c>
      <c r="D18" s="11">
        <f>D3*D4*INPUTS!$C$7</f>
        <v>8483.3100000000013</v>
      </c>
      <c r="E18" s="11">
        <f>E3*E4*INPUTS!$C$7</f>
        <v>8608.4388225000002</v>
      </c>
      <c r="F18" s="11">
        <f>F3*F4*INPUTS!$C$7</f>
        <v>8735.4132951318752</v>
      </c>
      <c r="G18" s="11">
        <f>G3*G4*INPUTS!$C$7</f>
        <v>8864.2606412350706</v>
      </c>
      <c r="H18" s="11">
        <f>H3*H4*INPUTS!$C$7</f>
        <v>8995.0084856932863</v>
      </c>
      <c r="I18" s="11">
        <f>I3*I4*INPUTS!$C$7</f>
        <v>9127.6848608572636</v>
      </c>
      <c r="J18" s="11">
        <f>J3*J4*INPUTS!$C$7</f>
        <v>9262.3182125549083</v>
      </c>
      <c r="K18" s="11">
        <f>K3*K4*INPUTS!$C$7</f>
        <v>9398.9374061900926</v>
      </c>
      <c r="L18" s="11">
        <f>L3*L4*INPUTS!$C$7</f>
        <v>9537.5717329313975</v>
      </c>
      <c r="M18" s="11">
        <f>M3*M4*INPUTS!$C$7</f>
        <v>9678.2509159921374</v>
      </c>
      <c r="N18" s="11">
        <f>N3*N4*INPUTS!$C$7</f>
        <v>9821.0051170030201</v>
      </c>
      <c r="O18" s="11">
        <f>O3*O4*INPUTS!$C$7</f>
        <v>9965.8649424788146</v>
      </c>
      <c r="P18" s="11">
        <f>P3*P4*INPUTS!$C$7</f>
        <v>10112.861450380376</v>
      </c>
      <c r="Q18" s="11">
        <f>Q3*Q4*INPUTS!$C$7</f>
        <v>10262.026156773487</v>
      </c>
      <c r="R18" s="11">
        <f>R3*R4*INPUTS!$C$7</f>
        <v>10413.391042585898</v>
      </c>
      <c r="S18" s="11">
        <f>S3*S4*INPUTS!$C$7</f>
        <v>10566.988560464039</v>
      </c>
      <c r="T18" s="11">
        <f>T3*T4*INPUTS!$C$7</f>
        <v>10722.851641730882</v>
      </c>
      <c r="U18" s="11">
        <f>U3*U4*INPUTS!$C$7</f>
        <v>10881.013703446413</v>
      </c>
      <c r="V18" s="11">
        <f>V3*V4*INPUTS!$C$7</f>
        <v>11041.50865557225</v>
      </c>
      <c r="W18" s="11">
        <f>W3*W4*INPUTS!$C$7</f>
        <v>11204.370908241939</v>
      </c>
      <c r="X18" s="11">
        <f>X3*X4*INPUTS!$C$7</f>
        <v>11369.635379138506</v>
      </c>
      <c r="Y18" s="11">
        <f>Y3*Y4*INPUTS!$C$7</f>
        <v>11537.337500980799</v>
      </c>
      <c r="Z18" s="11">
        <f>Z3*Z4*INPUTS!$C$7</f>
        <v>11707.513229120264</v>
      </c>
      <c r="AA18" s="11">
        <f>AA3*AA4*INPUTS!$C$7</f>
        <v>11880.199049249788</v>
      </c>
      <c r="AB18" s="69"/>
    </row>
    <row r="19" spans="1:28" s="11" customFormat="1" x14ac:dyDescent="0.25">
      <c r="A19" s="55" t="s">
        <v>176</v>
      </c>
      <c r="B19" s="24"/>
      <c r="C19" s="18">
        <f>IF(INPUTS!$G$6="Y",C3*C6,0)</f>
        <v>0</v>
      </c>
      <c r="D19" s="18">
        <f>IF(INPUTS!$G$6="Y",D3*D6,0)</f>
        <v>0</v>
      </c>
      <c r="E19" s="18">
        <f>IF(INPUTS!$G$6="Y",E3*E6,0)</f>
        <v>0</v>
      </c>
      <c r="F19" s="18">
        <f>IF(INPUTS!$G$6="Y",F3*F6,0)</f>
        <v>0</v>
      </c>
      <c r="G19" s="18">
        <f>IF(INPUTS!$G$6="Y",G3*G6,0)</f>
        <v>0</v>
      </c>
      <c r="H19" s="18">
        <f>IF(INPUTS!$G$6="Y",H3*H6,0)</f>
        <v>0</v>
      </c>
      <c r="I19" s="18">
        <f>IF(INPUTS!$G$6="Y",I3*I6,0)</f>
        <v>0</v>
      </c>
      <c r="J19" s="18">
        <f>IF(INPUTS!$G$6="Y",J3*J6,0)</f>
        <v>0</v>
      </c>
      <c r="K19" s="18">
        <f>IF(INPUTS!$G$6="Y",K3*K6,0)</f>
        <v>0</v>
      </c>
      <c r="L19" s="18">
        <f>IF(INPUTS!$G$6="Y",L3*L6,0)</f>
        <v>0</v>
      </c>
      <c r="M19" s="18">
        <f>IF(INPUTS!$G$6="Y",M3*M6,0)</f>
        <v>0</v>
      </c>
      <c r="N19" s="18">
        <f>IF(INPUTS!$G$6="Y",N3*N6,0)</f>
        <v>0</v>
      </c>
      <c r="O19" s="18">
        <f>IF(INPUTS!$G$6="Y",O3*O6,0)</f>
        <v>0</v>
      </c>
      <c r="P19" s="18">
        <f>IF(INPUTS!$G$6="Y",P3*P6,0)</f>
        <v>0</v>
      </c>
      <c r="Q19" s="18">
        <f>IF(INPUTS!$G$6="Y",Q3*Q6,0)</f>
        <v>0</v>
      </c>
      <c r="R19" s="18">
        <f>IF(INPUTS!$G$6="Y",R3*R6,0)</f>
        <v>0</v>
      </c>
      <c r="S19" s="18">
        <f>IF(INPUTS!$G$6="Y",S3*S6,0)</f>
        <v>0</v>
      </c>
      <c r="T19" s="18">
        <f>IF(INPUTS!$G$6="Y",T3*T6,0)</f>
        <v>0</v>
      </c>
      <c r="U19" s="18">
        <f>IF(INPUTS!$G$6="Y",U3*U6,0)</f>
        <v>0</v>
      </c>
      <c r="V19" s="18">
        <f>IF(INPUTS!$G$6="Y",V3*V6,0)</f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69"/>
    </row>
    <row r="20" spans="1:28" s="11" customFormat="1" x14ac:dyDescent="0.25">
      <c r="A20" s="55" t="s">
        <v>46</v>
      </c>
      <c r="B20" s="24"/>
      <c r="C20" s="18">
        <f>IF(UPPER(INPUTS!$G$8)="Y",C$3*0.5*INPUTS!$G$11,0)</f>
        <v>0</v>
      </c>
      <c r="D20" s="18">
        <f>IF(UPPER(INPUTS!$G$8)="Y",D$3*0.5*INPUTS!$G$11,0)</f>
        <v>0</v>
      </c>
      <c r="E20" s="18">
        <f>IF(UPPER(INPUTS!$G$8)="Y",E$3*0.5*INPUTS!$G$11,0)</f>
        <v>0</v>
      </c>
      <c r="F20" s="18">
        <f>IF(UPPER(INPUTS!$G$8)="Y",F$3*0.5*INPUTS!$G$11,0)</f>
        <v>0</v>
      </c>
      <c r="G20" s="18">
        <f>IF(UPPER(INPUTS!$G$8)="Y",G$3*0.5*INPUTS!$G$11,0)</f>
        <v>0</v>
      </c>
      <c r="H20" s="18">
        <f>IF(UPPER(INPUTS!$G$8)="Y",H$3*0.5*INPUTS!$G$11,0)</f>
        <v>0</v>
      </c>
      <c r="I20" s="18">
        <f>IF(UPPER(INPUTS!$G$8)="Y",I$3*0.5*INPUTS!$G$11,0)</f>
        <v>0</v>
      </c>
      <c r="J20" s="18">
        <f>IF(UPPER(INPUTS!$G$8)="Y",J$3*0.5*INPUTS!$G$11,0)</f>
        <v>0</v>
      </c>
      <c r="K20" s="18">
        <f>IF(UPPER(INPUTS!$G$8)="Y",K$3*0.5*INPUTS!$G$11,0)</f>
        <v>0</v>
      </c>
      <c r="L20" s="18">
        <f>IF(UPPER(INPUTS!$G$8)="Y",L$3*0.5*INPUTS!$G$11,0)</f>
        <v>0</v>
      </c>
      <c r="M20" s="18">
        <f>IF(UPPER(INPUTS!$G$8)="Y",M$3*0.5*INPUTS!$G$11,0)</f>
        <v>0</v>
      </c>
      <c r="N20" s="18">
        <f>IF(UPPER(INPUTS!$G$8)="Y",N$3*0.5*INPUTS!$G$11,0)</f>
        <v>0</v>
      </c>
      <c r="O20" s="18">
        <f>IF(UPPER(INPUTS!$G$8)="Y",O$3*0.5*INPUTS!$G$11,0)</f>
        <v>0</v>
      </c>
      <c r="P20" s="18">
        <f>IF(UPPER(INPUTS!$G$8)="Y",P$3*0.5*INPUTS!$G$11,0)</f>
        <v>0</v>
      </c>
      <c r="Q20" s="18">
        <f>IF(UPPER(INPUTS!$G$8)="Y",Q$3*0.5*INPUTS!$G$11,0)</f>
        <v>0</v>
      </c>
      <c r="R20" s="18">
        <f>IF(UPPER(INPUTS!$G$8)="Y",R$3*0.5*INPUTS!$G$11,0)</f>
        <v>0</v>
      </c>
      <c r="S20" s="18">
        <f>IF(UPPER(INPUTS!$G$8)="Y",S$3*0.5*INPUTS!$G$11,0)</f>
        <v>0</v>
      </c>
      <c r="T20" s="18">
        <f>IF(UPPER(INPUTS!$G$8)="Y",T$3*0.5*INPUTS!$G$11,0)</f>
        <v>0</v>
      </c>
      <c r="U20" s="18">
        <f>IF(UPPER(INPUTS!$G$8)="Y",U$3*0.5*INPUTS!$G$11,0)</f>
        <v>0</v>
      </c>
      <c r="V20" s="18">
        <f>IF(UPPER(INPUTS!$G$8)="Y",V$3*0.5*INPUTS!$G$11,0)</f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69"/>
    </row>
    <row r="21" spans="1:28" s="11" customFormat="1" x14ac:dyDescent="0.25">
      <c r="A21" s="24" t="s">
        <v>45</v>
      </c>
      <c r="B21" s="24"/>
      <c r="C21" s="19">
        <f>IF((INPUTS!$G$8)="N",C$5*INPUTS!$G$11,0)</f>
        <v>949.99999999999989</v>
      </c>
      <c r="D21" s="19">
        <f>IF((INPUTS!$G$8)="N",D$5*INPUTS!$G$11,0)</f>
        <v>940.49999999999989</v>
      </c>
      <c r="E21" s="19">
        <f>IF((INPUTS!$G$8)="N",E$5*INPUTS!$G$11,0)</f>
        <v>931.0949999999998</v>
      </c>
      <c r="F21" s="19">
        <f>IF((INPUTS!$G$8)="N",F$5*INPUTS!$G$11,0)</f>
        <v>921.78404999999987</v>
      </c>
      <c r="G21" s="19">
        <f>IF((INPUTS!$G$8)="N",G$5*INPUTS!$G$11,0)</f>
        <v>912.56620949999979</v>
      </c>
      <c r="H21" s="19">
        <f>IF((INPUTS!$G$8)="N",H$5*INPUTS!$G$11,0)</f>
        <v>903.44054740499985</v>
      </c>
      <c r="I21" s="19">
        <f>IF((INPUTS!$G$8)="N",I$5*INPUTS!$G$11,0)</f>
        <v>894.40614193094973</v>
      </c>
      <c r="J21" s="19">
        <f>IF((INPUTS!$G$8)="N",J$5*INPUTS!$G$11,0)</f>
        <v>885.46208051164035</v>
      </c>
      <c r="K21" s="19">
        <f>IF((INPUTS!$G$8)="N",K$5*INPUTS!$G$11,0)</f>
        <v>876.60745970652397</v>
      </c>
      <c r="L21" s="19">
        <f>IF((INPUTS!$G$8)="N",L$5*INPUTS!$G$11,0)</f>
        <v>867.84138510945877</v>
      </c>
      <c r="M21" s="19">
        <f>IF((INPUTS!$G$8)="N",M$5*INPUTS!$G$11,0)</f>
        <v>859.16297125836411</v>
      </c>
      <c r="N21" s="19">
        <f>IF((INPUTS!$G$8)="N",N$5*INPUTS!$G$11,0)</f>
        <v>850.57134154578034</v>
      </c>
      <c r="O21" s="19">
        <f>IF((INPUTS!$G$8)="N",O$5*INPUTS!$G$11,0)</f>
        <v>842.06562813032258</v>
      </c>
      <c r="P21" s="19">
        <f>IF((INPUTS!$G$8)="N",P$5*INPUTS!$G$11,0)</f>
        <v>833.64497184901938</v>
      </c>
      <c r="Q21" s="19">
        <f>IF((INPUTS!$G$8)="N",Q$5*INPUTS!$G$11,0)</f>
        <v>825.30852213052913</v>
      </c>
      <c r="R21" s="19">
        <f>IF((INPUTS!$G$8)="N",R$5*INPUTS!$G$11,0)</f>
        <v>817.05543690922389</v>
      </c>
      <c r="S21" s="19">
        <f>IF((INPUTS!$G$8)="N",S$5*INPUTS!$G$11,0)</f>
        <v>808.88488254013168</v>
      </c>
      <c r="T21" s="19">
        <f>IF((INPUTS!$G$8)="N",T$5*INPUTS!$G$11,0)</f>
        <v>800.79603371473024</v>
      </c>
      <c r="U21" s="19">
        <f>IF((INPUTS!$G$8)="N",U$5*INPUTS!$G$11,0)</f>
        <v>792.78807337758303</v>
      </c>
      <c r="V21" s="19">
        <f>IF((INPUTS!$G$8)="N",V$5*INPUTS!$G$11,0)</f>
        <v>784.8601926438073</v>
      </c>
      <c r="W21" s="19">
        <f>IF((INPUTS!$G$8)="N",W$5*INPUTS!$G$11,0)</f>
        <v>777.01159071736913</v>
      </c>
      <c r="X21" s="19">
        <f>IF((INPUTS!$G$8)="N",X$5*INPUTS!$G$11,0)</f>
        <v>769.24147481019543</v>
      </c>
      <c r="Y21" s="19">
        <f>IF((INPUTS!$G$8)="N",Y$5*INPUTS!$G$11,0)</f>
        <v>761.5490600620933</v>
      </c>
      <c r="Z21" s="19">
        <f>IF((INPUTS!$G$8)="N",Z$5*INPUTS!$G$11,0)</f>
        <v>753.93356946147242</v>
      </c>
      <c r="AA21" s="19">
        <f>IF((INPUTS!$G$8)="N",AA$5*INPUTS!$G$11,0)</f>
        <v>746.39423376685772</v>
      </c>
      <c r="AB21" s="69"/>
    </row>
    <row r="22" spans="1:28" x14ac:dyDescent="0.25">
      <c r="A22" s="55" t="s">
        <v>245</v>
      </c>
      <c r="B22" s="24"/>
      <c r="C22" s="21">
        <f>SUM(C18:C21)</f>
        <v>9310</v>
      </c>
      <c r="D22" s="21">
        <f t="shared" ref="D22:AA22" si="1">SUM(D18:D21)</f>
        <v>9423.8100000000013</v>
      </c>
      <c r="E22" s="21">
        <f t="shared" si="1"/>
        <v>9539.5338224999996</v>
      </c>
      <c r="F22" s="21">
        <f t="shared" si="1"/>
        <v>9657.1973451318754</v>
      </c>
      <c r="G22" s="21">
        <f t="shared" si="1"/>
        <v>9776.8268507350695</v>
      </c>
      <c r="H22" s="21">
        <f t="shared" si="1"/>
        <v>9898.4490330982862</v>
      </c>
      <c r="I22" s="21">
        <f t="shared" si="1"/>
        <v>10022.091002788213</v>
      </c>
      <c r="J22" s="21">
        <f t="shared" si="1"/>
        <v>10147.780293066549</v>
      </c>
      <c r="K22" s="21">
        <f t="shared" si="1"/>
        <v>10275.544865896616</v>
      </c>
      <c r="L22" s="21">
        <f t="shared" si="1"/>
        <v>10405.413118040857</v>
      </c>
      <c r="M22" s="21">
        <f t="shared" si="1"/>
        <v>10537.413887250501</v>
      </c>
      <c r="N22" s="21">
        <f t="shared" si="1"/>
        <v>10671.5764585488</v>
      </c>
      <c r="O22" s="21">
        <f t="shared" si="1"/>
        <v>10807.930570609136</v>
      </c>
      <c r="P22" s="21">
        <f t="shared" si="1"/>
        <v>10946.506422229395</v>
      </c>
      <c r="Q22" s="21">
        <f t="shared" si="1"/>
        <v>11087.334678904015</v>
      </c>
      <c r="R22" s="21">
        <f t="shared" si="1"/>
        <v>11230.446479495122</v>
      </c>
      <c r="S22" s="21">
        <f t="shared" si="1"/>
        <v>11375.87344300417</v>
      </c>
      <c r="T22" s="21">
        <f t="shared" si="1"/>
        <v>11523.647675445613</v>
      </c>
      <c r="U22" s="21">
        <f t="shared" si="1"/>
        <v>11673.801776823997</v>
      </c>
      <c r="V22" s="21">
        <f t="shared" si="1"/>
        <v>11826.368848216058</v>
      </c>
      <c r="W22" s="21">
        <f t="shared" si="1"/>
        <v>11981.382498959309</v>
      </c>
      <c r="X22" s="21">
        <f t="shared" si="1"/>
        <v>12138.876853948701</v>
      </c>
      <c r="Y22" s="21">
        <f t="shared" si="1"/>
        <v>12298.886561042891</v>
      </c>
      <c r="Z22" s="21">
        <f t="shared" si="1"/>
        <v>12461.446798581737</v>
      </c>
      <c r="AA22" s="21">
        <f t="shared" si="1"/>
        <v>12626.593283016646</v>
      </c>
    </row>
    <row r="23" spans="1:28" s="11" customFormat="1" x14ac:dyDescent="0.25">
      <c r="A23" s="55" t="s">
        <v>238</v>
      </c>
      <c r="B23" s="24"/>
      <c r="C23" s="19">
        <f>IF((INPUTS!$G$8)="N",((C$5-(C9*INPUTS!$K$27))*INPUTS!$G$11),0)</f>
        <v>949.99999999999989</v>
      </c>
      <c r="D23" s="19">
        <f>IF((INPUTS!$G$8)="N",((D$5-(D9*INPUTS!$K$27))*INPUTS!$G$11),0)</f>
        <v>940.49999999999989</v>
      </c>
      <c r="E23" s="19">
        <f>IF((INPUTS!$G$8)="N",((E$5-(E9*INPUTS!$K$27))*INPUTS!$G$11),0)</f>
        <v>931.0949999999998</v>
      </c>
      <c r="F23" s="19">
        <f>IF((INPUTS!$G$8)="N",((F$5-(F9*INPUTS!$K$27))*INPUTS!$G$11),0)</f>
        <v>921.78404999999987</v>
      </c>
      <c r="G23" s="19">
        <f>IF((INPUTS!$G$8)="N",((G$5-(G9*INPUTS!$K$27))*INPUTS!$G$11),0)</f>
        <v>912.56620949999979</v>
      </c>
      <c r="H23" s="19">
        <f>IF((INPUTS!$G$8)="N",((H$5-(H9*INPUTS!$K$27))*INPUTS!$G$11),0)</f>
        <v>903.44054740499985</v>
      </c>
      <c r="I23" s="19">
        <f>IF((INPUTS!$G$8)="N",((I$5-(I9*INPUTS!$K$27))*INPUTS!$G$11),0)</f>
        <v>894.40614193094973</v>
      </c>
      <c r="J23" s="19">
        <f>IF((INPUTS!$G$8)="N",((J$5-(J9*INPUTS!$K$27))*INPUTS!$G$11),0)</f>
        <v>885.46208051164035</v>
      </c>
      <c r="K23" s="19">
        <f>IF((INPUTS!$G$8)="N",((K$5-(K9*INPUTS!$K$27))*INPUTS!$G$11),0)</f>
        <v>876.60745970652397</v>
      </c>
      <c r="L23" s="19">
        <f>IF((INPUTS!$G$8)="N",((L$5-(L9*INPUTS!$K$27))*INPUTS!$G$11),0)</f>
        <v>867.84138510945877</v>
      </c>
      <c r="M23" s="19">
        <f>IF((INPUTS!$G$8)="N",((M$5-(M9*INPUTS!$K$27))*INPUTS!$G$11),0)</f>
        <v>859.16297125836411</v>
      </c>
      <c r="N23" s="19">
        <f>IF((INPUTS!$G$8)="N",((N$5-(N9*INPUTS!$K$27))*INPUTS!$G$11),0)</f>
        <v>850.57134154578034</v>
      </c>
      <c r="O23" s="19">
        <f>IF((INPUTS!$G$8)="N",((O$5-(O9*INPUTS!$K$27))*INPUTS!$G$11),0)</f>
        <v>842.06562813032258</v>
      </c>
      <c r="P23" s="19">
        <f>IF((INPUTS!$G$8)="N",((P$5-(P9*INPUTS!$K$27))*INPUTS!$G$11),0)</f>
        <v>833.64497184901938</v>
      </c>
      <c r="Q23" s="19">
        <f>IF((INPUTS!$G$8)="N",((Q$5-(Q9*INPUTS!$K$27))*INPUTS!$G$11),0)</f>
        <v>825.30852213052913</v>
      </c>
      <c r="R23" s="19">
        <f>IF((INPUTS!$G$8)="N",((R$5-(R9*INPUTS!$K$27))*INPUTS!$G$11),0)</f>
        <v>817.05543690922389</v>
      </c>
      <c r="S23" s="19">
        <f>IF((INPUTS!$G$8)="N",((S$5-(S9*INPUTS!$K$27))*INPUTS!$G$11),0)</f>
        <v>808.88488254013168</v>
      </c>
      <c r="T23" s="19">
        <f>IF((INPUTS!$G$8)="N",((T$5-(T9*INPUTS!$K$27))*INPUTS!$G$11),0)</f>
        <v>800.79603371473024</v>
      </c>
      <c r="U23" s="19">
        <f>IF((INPUTS!$G$8)="N",((U$5-(U9*INPUTS!$K$27))*INPUTS!$G$11),0)</f>
        <v>792.78807337758303</v>
      </c>
      <c r="V23" s="19">
        <f>IF((INPUTS!$G$8)="N",((V$5-(V9*INPUTS!$K$27))*INPUTS!$G$11),0)</f>
        <v>784.8601926438073</v>
      </c>
      <c r="W23" s="19">
        <f>IF((INPUTS!$G$8)="N",((W$5-(W9*INPUTS!$K$27))*INPUTS!$G$11),0)</f>
        <v>777.01159071736913</v>
      </c>
      <c r="X23" s="19">
        <f>IF((INPUTS!$G$8)="N",((X$5-(X9*INPUTS!$K$27))*INPUTS!$G$11),0)</f>
        <v>769.24147481019543</v>
      </c>
      <c r="Y23" s="19">
        <f>IF((INPUTS!$G$8)="N",((Y$5-(Y9*INPUTS!$K$27))*INPUTS!$G$11),0)</f>
        <v>761.5490600620933</v>
      </c>
      <c r="Z23" s="19">
        <f>IF((INPUTS!$G$8)="N",((Z$5-(Z9*INPUTS!$K$27))*INPUTS!$G$11),0)</f>
        <v>753.93356946147242</v>
      </c>
      <c r="AA23" s="19">
        <f>IF((INPUTS!$G$8)="N",((AA$5-(AA9*INPUTS!$K$27))*INPUTS!$G$11),0)</f>
        <v>746.39423376685772</v>
      </c>
      <c r="AB23" s="92" t="s">
        <v>239</v>
      </c>
    </row>
    <row r="24" spans="1:28" x14ac:dyDescent="0.25">
      <c r="A24" s="55" t="s">
        <v>240</v>
      </c>
      <c r="B24" s="24"/>
      <c r="C24" s="21">
        <f>C18+C19+C20+C23</f>
        <v>9310</v>
      </c>
      <c r="D24" s="21">
        <f t="shared" ref="D24:AA24" si="2">D18+D19+D20+D23</f>
        <v>9423.8100000000013</v>
      </c>
      <c r="E24" s="21">
        <f t="shared" si="2"/>
        <v>9539.5338224999996</v>
      </c>
      <c r="F24" s="21">
        <f t="shared" si="2"/>
        <v>9657.1973451318754</v>
      </c>
      <c r="G24" s="21">
        <f t="shared" si="2"/>
        <v>9776.8268507350695</v>
      </c>
      <c r="H24" s="21">
        <f t="shared" si="2"/>
        <v>9898.4490330982862</v>
      </c>
      <c r="I24" s="21">
        <f t="shared" si="2"/>
        <v>10022.091002788213</v>
      </c>
      <c r="J24" s="21">
        <f t="shared" si="2"/>
        <v>10147.780293066549</v>
      </c>
      <c r="K24" s="21">
        <f t="shared" si="2"/>
        <v>10275.544865896616</v>
      </c>
      <c r="L24" s="21">
        <f t="shared" si="2"/>
        <v>10405.413118040857</v>
      </c>
      <c r="M24" s="21">
        <f t="shared" si="2"/>
        <v>10537.413887250501</v>
      </c>
      <c r="N24" s="21">
        <f t="shared" si="2"/>
        <v>10671.5764585488</v>
      </c>
      <c r="O24" s="21">
        <f t="shared" si="2"/>
        <v>10807.930570609136</v>
      </c>
      <c r="P24" s="21">
        <f t="shared" si="2"/>
        <v>10946.506422229395</v>
      </c>
      <c r="Q24" s="21">
        <f t="shared" si="2"/>
        <v>11087.334678904015</v>
      </c>
      <c r="R24" s="21">
        <f t="shared" si="2"/>
        <v>11230.446479495122</v>
      </c>
      <c r="S24" s="21">
        <f t="shared" si="2"/>
        <v>11375.87344300417</v>
      </c>
      <c r="T24" s="21">
        <f t="shared" si="2"/>
        <v>11523.647675445613</v>
      </c>
      <c r="U24" s="21">
        <f t="shared" si="2"/>
        <v>11673.801776823997</v>
      </c>
      <c r="V24" s="21">
        <f t="shared" si="2"/>
        <v>11826.368848216058</v>
      </c>
      <c r="W24" s="21">
        <f t="shared" si="2"/>
        <v>11981.382498959309</v>
      </c>
      <c r="X24" s="21">
        <f t="shared" si="2"/>
        <v>12138.876853948701</v>
      </c>
      <c r="Y24" s="21">
        <f t="shared" si="2"/>
        <v>12298.886561042891</v>
      </c>
      <c r="Z24" s="21">
        <f t="shared" si="2"/>
        <v>12461.446798581737</v>
      </c>
      <c r="AA24" s="21">
        <f t="shared" si="2"/>
        <v>12626.593283016646</v>
      </c>
    </row>
    <row r="25" spans="1:28" x14ac:dyDescent="0.25">
      <c r="A25" s="55" t="s">
        <v>243</v>
      </c>
      <c r="B25" s="24"/>
      <c r="C25" s="21">
        <f>IF(INPUTS!$K$27=0,C22,C24)</f>
        <v>9310</v>
      </c>
      <c r="D25" s="21">
        <f>IF(INPUTS!$K$27=0,D22,D24)</f>
        <v>9423.8100000000013</v>
      </c>
      <c r="E25" s="21">
        <f>IF(INPUTS!$K$27=0,E22,E24)</f>
        <v>9539.5338224999996</v>
      </c>
      <c r="F25" s="21">
        <f>IF(INPUTS!$K$27=0,F22,F24)</f>
        <v>9657.1973451318754</v>
      </c>
      <c r="G25" s="21">
        <f>IF(INPUTS!$K$27=0,G22,G24)</f>
        <v>9776.8268507350695</v>
      </c>
      <c r="H25" s="21">
        <f>IF(INPUTS!$K$27=0,H22,H24)</f>
        <v>9898.4490330982862</v>
      </c>
      <c r="I25" s="21">
        <f>IF(INPUTS!$K$27=0,I22,I24)</f>
        <v>10022.091002788213</v>
      </c>
      <c r="J25" s="21">
        <f>IF(INPUTS!$K$27=0,J22,J24)</f>
        <v>10147.780293066549</v>
      </c>
      <c r="K25" s="21">
        <f>IF(INPUTS!$K$27=0,K22,K24)</f>
        <v>10275.544865896616</v>
      </c>
      <c r="L25" s="21">
        <f>IF(INPUTS!$K$27=0,L22,L24)</f>
        <v>10405.413118040857</v>
      </c>
      <c r="M25" s="21">
        <f>IF(INPUTS!$K$27=0,M22,M24)</f>
        <v>10537.413887250501</v>
      </c>
      <c r="N25" s="21">
        <f>IF(INPUTS!$K$27=0,N22,N24)</f>
        <v>10671.5764585488</v>
      </c>
      <c r="O25" s="21">
        <f>IF(INPUTS!$K$27=0,O22,O24)</f>
        <v>10807.930570609136</v>
      </c>
      <c r="P25" s="21">
        <f>IF(INPUTS!$K$27=0,P22,P24)</f>
        <v>10946.506422229395</v>
      </c>
      <c r="Q25" s="21">
        <f>IF(INPUTS!$K$27=0,Q22,Q24)</f>
        <v>11087.334678904015</v>
      </c>
      <c r="R25" s="21">
        <f>IF(INPUTS!$K$27=0,R22,R24)</f>
        <v>11230.446479495122</v>
      </c>
      <c r="S25" s="21">
        <f>IF(INPUTS!$K$27=0,S22,S24)</f>
        <v>11375.87344300417</v>
      </c>
      <c r="T25" s="21">
        <f>IF(INPUTS!$K$27=0,T22,T24)</f>
        <v>11523.647675445613</v>
      </c>
      <c r="U25" s="21">
        <f>IF(INPUTS!$K$27=0,U22,U24)</f>
        <v>11673.801776823997</v>
      </c>
      <c r="V25" s="21">
        <f>IF(INPUTS!$K$27=0,V22,V24)</f>
        <v>11826.368848216058</v>
      </c>
      <c r="W25" s="21">
        <f>IF(INPUTS!$K$27=0,W22,W24)</f>
        <v>11981.382498959309</v>
      </c>
      <c r="X25" s="21">
        <f>IF(INPUTS!$K$27=0,X22,X24)</f>
        <v>12138.876853948701</v>
      </c>
      <c r="Y25" s="21">
        <f>IF(INPUTS!$K$27=0,Y22,Y24)</f>
        <v>12298.886561042891</v>
      </c>
      <c r="Z25" s="21">
        <f>IF(INPUTS!$K$27=0,Z22,Z24)</f>
        <v>12461.446798581737</v>
      </c>
      <c r="AA25" s="21">
        <f>IF(INPUTS!$K$27=0,AA22,AA24)</f>
        <v>12626.593283016646</v>
      </c>
    </row>
    <row r="26" spans="1:28" x14ac:dyDescent="0.25">
      <c r="A26" s="24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8" s="11" customFormat="1" x14ac:dyDescent="0.25">
      <c r="A27" s="24" t="s">
        <v>73</v>
      </c>
      <c r="B27" s="24"/>
      <c r="C27" s="11">
        <f>C9*C12</f>
        <v>1166.6666666666667</v>
      </c>
      <c r="D27" s="11">
        <f>D9*D12</f>
        <v>1315.4166666666667</v>
      </c>
      <c r="E27" s="11">
        <f>E9*E12</f>
        <v>1483.1322916666668</v>
      </c>
      <c r="F27" s="11">
        <f>F9*F12</f>
        <v>1672.2316588541669</v>
      </c>
      <c r="G27" s="11">
        <f>G9*G12</f>
        <v>1885.4411953580732</v>
      </c>
      <c r="H27" s="11">
        <f>H9*H12</f>
        <v>2125.8349477662277</v>
      </c>
      <c r="I27" s="11">
        <f>I9*I12</f>
        <v>2396.8789036064213</v>
      </c>
      <c r="J27" s="11">
        <f>J9*J12</f>
        <v>2702.4809638162401</v>
      </c>
      <c r="K27" s="11">
        <f>K9*K12</f>
        <v>3047.0472867028107</v>
      </c>
      <c r="L27" s="11">
        <f>L9*L12</f>
        <v>3435.5458157574189</v>
      </c>
      <c r="M27" s="11">
        <f>M9*M12</f>
        <v>3873.57790726649</v>
      </c>
      <c r="N27" s="11">
        <f>N9*N12</f>
        <v>4367.459090442967</v>
      </c>
      <c r="O27" s="11">
        <f>O9*O12</f>
        <v>4924.3101244744466</v>
      </c>
      <c r="P27" s="11">
        <f>P9*P12</f>
        <v>5552.1596653449378</v>
      </c>
      <c r="Q27" s="11">
        <f>Q9*Q12</f>
        <v>6260.0600226764172</v>
      </c>
      <c r="R27" s="11">
        <f>R9*R12</f>
        <v>7058.2176755676601</v>
      </c>
      <c r="S27" s="11">
        <f>S9*S12</f>
        <v>7958.1404292025372</v>
      </c>
      <c r="T27" s="11">
        <f>T9*T12</f>
        <v>8972.8033339258618</v>
      </c>
      <c r="U27" s="11">
        <f>U9*U12</f>
        <v>10116.835759001407</v>
      </c>
      <c r="V27" s="11">
        <f>V9*V12</f>
        <v>11406.732318274087</v>
      </c>
      <c r="W27" s="11">
        <f>W9*W12</f>
        <v>12861.090688854032</v>
      </c>
      <c r="X27" s="11">
        <f>X9*X12</f>
        <v>14500.87975168292</v>
      </c>
      <c r="Y27" s="11">
        <f>Y9*Y12</f>
        <v>16349.741920022492</v>
      </c>
      <c r="Z27" s="11">
        <f>Z9*Z12</f>
        <v>18434.334014825359</v>
      </c>
      <c r="AA27" s="11">
        <f>AA9*AA12</f>
        <v>20784.711601715593</v>
      </c>
      <c r="AB27" s="69"/>
    </row>
    <row r="28" spans="1:28" s="11" customFormat="1" x14ac:dyDescent="0.25">
      <c r="A28" s="24" t="s">
        <v>74</v>
      </c>
      <c r="B28" s="24"/>
      <c r="C28" s="11">
        <f>C10*C13</f>
        <v>0</v>
      </c>
      <c r="D28" s="11">
        <f>D10*D13</f>
        <v>0</v>
      </c>
      <c r="E28" s="11">
        <f>E10*E13</f>
        <v>0</v>
      </c>
      <c r="F28" s="11">
        <f>F10*F13</f>
        <v>0</v>
      </c>
      <c r="G28" s="11">
        <f>G10*G13</f>
        <v>0</v>
      </c>
      <c r="H28" s="11">
        <f>H10*H13</f>
        <v>0</v>
      </c>
      <c r="I28" s="11">
        <f>I10*I13</f>
        <v>0</v>
      </c>
      <c r="J28" s="11">
        <f>J10*J13</f>
        <v>0</v>
      </c>
      <c r="K28" s="11">
        <f>K10*K13</f>
        <v>0</v>
      </c>
      <c r="L28" s="11">
        <f>L10*L13</f>
        <v>0</v>
      </c>
      <c r="M28" s="11">
        <f>M10*M13</f>
        <v>0</v>
      </c>
      <c r="N28" s="11">
        <f>N10*N13</f>
        <v>0</v>
      </c>
      <c r="O28" s="11">
        <f>O10*O13</f>
        <v>0</v>
      </c>
      <c r="P28" s="11">
        <f>P10*P13</f>
        <v>0</v>
      </c>
      <c r="Q28" s="11">
        <f>Q10*Q13</f>
        <v>0</v>
      </c>
      <c r="R28" s="11">
        <f>R10*R13</f>
        <v>0</v>
      </c>
      <c r="S28" s="11">
        <f>S10*S13</f>
        <v>0</v>
      </c>
      <c r="T28" s="11">
        <f>T10*T13</f>
        <v>0</v>
      </c>
      <c r="U28" s="11">
        <f>U10*U13</f>
        <v>0</v>
      </c>
      <c r="V28" s="11">
        <f>V10*V13</f>
        <v>0</v>
      </c>
      <c r="W28" s="11">
        <f>W10*W13</f>
        <v>0</v>
      </c>
      <c r="X28" s="11">
        <f>X10*X13</f>
        <v>0</v>
      </c>
      <c r="Y28" s="11">
        <f>Y10*Y13</f>
        <v>0</v>
      </c>
      <c r="Z28" s="11">
        <f>Z10*Z13</f>
        <v>0</v>
      </c>
      <c r="AA28" s="11">
        <f>AA10*AA13</f>
        <v>0</v>
      </c>
      <c r="AB28" s="69"/>
    </row>
    <row r="29" spans="1:28" x14ac:dyDescent="0.25">
      <c r="A29" s="24" t="s">
        <v>75</v>
      </c>
      <c r="B29" s="24"/>
      <c r="C29" s="21">
        <f t="shared" ref="C29:AA29" si="3">SUM(C27:C28)</f>
        <v>1166.6666666666667</v>
      </c>
      <c r="D29" s="21">
        <f t="shared" si="3"/>
        <v>1315.4166666666667</v>
      </c>
      <c r="E29" s="21">
        <f t="shared" si="3"/>
        <v>1483.1322916666668</v>
      </c>
      <c r="F29" s="21">
        <f t="shared" si="3"/>
        <v>1672.2316588541669</v>
      </c>
      <c r="G29" s="21">
        <f t="shared" si="3"/>
        <v>1885.4411953580732</v>
      </c>
      <c r="H29" s="21">
        <f t="shared" si="3"/>
        <v>2125.8349477662277</v>
      </c>
      <c r="I29" s="21">
        <f t="shared" si="3"/>
        <v>2396.8789036064213</v>
      </c>
      <c r="J29" s="21">
        <f t="shared" si="3"/>
        <v>2702.4809638162401</v>
      </c>
      <c r="K29" s="21">
        <f t="shared" si="3"/>
        <v>3047.0472867028107</v>
      </c>
      <c r="L29" s="21">
        <f t="shared" si="3"/>
        <v>3435.5458157574189</v>
      </c>
      <c r="M29" s="21">
        <f t="shared" si="3"/>
        <v>3873.57790726649</v>
      </c>
      <c r="N29" s="21">
        <f t="shared" si="3"/>
        <v>4367.459090442967</v>
      </c>
      <c r="O29" s="21">
        <f t="shared" si="3"/>
        <v>4924.3101244744466</v>
      </c>
      <c r="P29" s="21">
        <f t="shared" si="3"/>
        <v>5552.1596653449378</v>
      </c>
      <c r="Q29" s="21">
        <f t="shared" si="3"/>
        <v>6260.0600226764172</v>
      </c>
      <c r="R29" s="21">
        <f t="shared" si="3"/>
        <v>7058.2176755676601</v>
      </c>
      <c r="S29" s="21">
        <f t="shared" si="3"/>
        <v>7958.1404292025372</v>
      </c>
      <c r="T29" s="21">
        <f t="shared" si="3"/>
        <v>8972.8033339258618</v>
      </c>
      <c r="U29" s="21">
        <f t="shared" si="3"/>
        <v>10116.835759001407</v>
      </c>
      <c r="V29" s="21">
        <f t="shared" si="3"/>
        <v>11406.732318274087</v>
      </c>
      <c r="W29" s="21">
        <f t="shared" si="3"/>
        <v>12861.090688854032</v>
      </c>
      <c r="X29" s="21">
        <f t="shared" si="3"/>
        <v>14500.87975168292</v>
      </c>
      <c r="Y29" s="21">
        <f t="shared" si="3"/>
        <v>16349.741920022492</v>
      </c>
      <c r="Z29" s="21">
        <f t="shared" si="3"/>
        <v>18434.334014825359</v>
      </c>
      <c r="AA29" s="21">
        <f t="shared" si="3"/>
        <v>20784.711601715593</v>
      </c>
    </row>
    <row r="30" spans="1:28" s="1" customFormat="1" x14ac:dyDescent="0.25">
      <c r="A30" s="17" t="s">
        <v>52</v>
      </c>
      <c r="B30" s="17"/>
      <c r="C30" s="25">
        <f>IF(INPUTS!$K$27=0,C22+C29,C24+C29)</f>
        <v>10476.666666666666</v>
      </c>
      <c r="D30" s="25">
        <f>IF(INPUTS!$K$27=0,D22+D29,D24+D29)</f>
        <v>10739.226666666667</v>
      </c>
      <c r="E30" s="25">
        <f>IF(INPUTS!$K$27=0,E22+E29,E24+E29)</f>
        <v>11022.666114166666</v>
      </c>
      <c r="F30" s="25">
        <f>IF(INPUTS!$K$27=0,F22+F29,F24+F29)</f>
        <v>11329.429003986043</v>
      </c>
      <c r="G30" s="25">
        <f>IF(INPUTS!$K$27=0,G22+G29,G24+G29)</f>
        <v>11662.268046093142</v>
      </c>
      <c r="H30" s="25">
        <f>IF(INPUTS!$K$27=0,H22+H29,H24+H29)</f>
        <v>12024.283980864515</v>
      </c>
      <c r="I30" s="25">
        <f>IF(INPUTS!$K$27=0,I22+I29,I24+I29)</f>
        <v>12418.969906394634</v>
      </c>
      <c r="J30" s="25">
        <f>IF(INPUTS!$K$27=0,J22+J29,J24+J29)</f>
        <v>12850.26125688279</v>
      </c>
      <c r="K30" s="25">
        <f>IF(INPUTS!$K$27=0,K22+K29,K24+K29)</f>
        <v>13322.592152599427</v>
      </c>
      <c r="L30" s="25">
        <f>IF(INPUTS!$K$27=0,L22+L29,L24+L29)</f>
        <v>13840.958933798276</v>
      </c>
      <c r="M30" s="25">
        <f>IF(INPUTS!$K$27=0,M22+M29,M24+M29)</f>
        <v>14410.991794516991</v>
      </c>
      <c r="N30" s="25">
        <f>IF(INPUTS!$K$27=0,N22+N29,N24+N29)</f>
        <v>15039.035548991767</v>
      </c>
      <c r="O30" s="25">
        <f>IF(INPUTS!$K$27=0,O22+O29,O24+O29)</f>
        <v>15732.240695083583</v>
      </c>
      <c r="P30" s="25">
        <f>IF(INPUTS!$K$27=0,P22+P29,P24+P29)</f>
        <v>16498.666087574333</v>
      </c>
      <c r="Q30" s="25">
        <f>IF(INPUTS!$K$27=0,Q22+Q29,Q24+Q29)</f>
        <v>17347.394701580433</v>
      </c>
      <c r="R30" s="25">
        <f>IF(INPUTS!$K$27=0,R22+R29,R24+R29)</f>
        <v>18288.664155062783</v>
      </c>
      <c r="S30" s="25">
        <f>IF(INPUTS!$K$27=0,S22+S29,S24+S29)</f>
        <v>19334.013872206706</v>
      </c>
      <c r="T30" s="25">
        <f>IF(INPUTS!$K$27=0,T22+T29,T24+T29)</f>
        <v>20496.451009371474</v>
      </c>
      <c r="U30" s="25">
        <f>IF(INPUTS!$K$27=0,U22+U29,U24+U29)</f>
        <v>21790.637535825404</v>
      </c>
      <c r="V30" s="25">
        <f>IF(INPUTS!$K$27=0,V22+V29,V24+V29)</f>
        <v>23233.101166490145</v>
      </c>
      <c r="W30" s="25">
        <f>IF(INPUTS!$K$27=0,W22+W29,W24+W29)</f>
        <v>24842.473187813339</v>
      </c>
      <c r="X30" s="25">
        <f>IF(INPUTS!$K$27=0,X22+X29,X24+X29)</f>
        <v>26639.756605631621</v>
      </c>
      <c r="Y30" s="25">
        <f>IF(INPUTS!$K$27=0,Y22+Y29,Y24+Y29)</f>
        <v>28648.628481065381</v>
      </c>
      <c r="Z30" s="25">
        <f>IF(INPUTS!$K$27=0,Z22+Z29,Z24+Z29)</f>
        <v>30895.780813407095</v>
      </c>
      <c r="AA30" s="25">
        <f>IF(INPUTS!$K$27=0,AA22+AA29,AA24+AA29)</f>
        <v>33411.304884732235</v>
      </c>
      <c r="AB30" s="70"/>
    </row>
    <row r="32" spans="1:28" x14ac:dyDescent="0.25">
      <c r="A32" s="1" t="s">
        <v>226</v>
      </c>
    </row>
    <row r="33" spans="1:28" x14ac:dyDescent="0.25">
      <c r="A33" s="10" t="s">
        <v>217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</row>
    <row r="34" spans="1:28" s="11" customFormat="1" x14ac:dyDescent="0.25">
      <c r="A34" s="10" t="s">
        <v>112</v>
      </c>
      <c r="C34" s="11">
        <f>IF(INPUTS!$C$6="Y",(C11*INPUTS!$K$27*C4),0)</f>
        <v>0</v>
      </c>
      <c r="D34" s="11">
        <f>IF(INPUTS!$C$6="Y",(D11*INPUTS!$K$27*D4),0)</f>
        <v>0</v>
      </c>
      <c r="E34" s="11">
        <f>IF(INPUTS!$C$6="Y",(E11*INPUTS!$K$27*E4),0)</f>
        <v>0</v>
      </c>
      <c r="F34" s="11">
        <f>IF(INPUTS!$C$6="Y",(F11*INPUTS!$K$27*F4),0)</f>
        <v>0</v>
      </c>
      <c r="G34" s="11">
        <f>IF(INPUTS!$C$6="Y",(G11*INPUTS!$K$27*G4),0)</f>
        <v>0</v>
      </c>
      <c r="H34" s="11">
        <f>IF(INPUTS!$C$6="Y",(H11*INPUTS!$K$27*H4),0)</f>
        <v>0</v>
      </c>
      <c r="I34" s="11">
        <f>IF(INPUTS!$C$6="Y",(I11*INPUTS!$K$27*I4),0)</f>
        <v>0</v>
      </c>
      <c r="J34" s="11">
        <f>IF(INPUTS!$C$6="Y",(J11*INPUTS!$K$27*J4),0)</f>
        <v>0</v>
      </c>
      <c r="K34" s="11">
        <f>IF(INPUTS!$C$6="Y",(K11*INPUTS!$K$27*K4),0)</f>
        <v>0</v>
      </c>
      <c r="L34" s="11">
        <f>IF(INPUTS!$C$6="Y",(L11*INPUTS!$K$27*L4),0)</f>
        <v>0</v>
      </c>
      <c r="M34" s="11">
        <f>IF(INPUTS!$C$6="Y",(M11*INPUTS!$K$27*M4),0)</f>
        <v>0</v>
      </c>
      <c r="N34" s="11">
        <f>IF(INPUTS!$C$6="Y",(N11*INPUTS!$K$27*N4),0)</f>
        <v>0</v>
      </c>
      <c r="O34" s="11">
        <f>IF(INPUTS!$C$6="Y",(O11*INPUTS!$K$27*O4),0)</f>
        <v>0</v>
      </c>
      <c r="P34" s="11">
        <f>IF(INPUTS!$C$6="Y",(P11*INPUTS!$K$27*P4),0)</f>
        <v>0</v>
      </c>
      <c r="Q34" s="11">
        <f>IF(INPUTS!$C$6="Y",(Q11*INPUTS!$K$27*Q4),0)</f>
        <v>0</v>
      </c>
      <c r="R34" s="11">
        <f>IF(INPUTS!$C$6="Y",(R11*INPUTS!$K$27*R4),0)</f>
        <v>0</v>
      </c>
      <c r="S34" s="11">
        <f>IF(INPUTS!$C$6="Y",(S11*INPUTS!$K$27*S4),0)</f>
        <v>0</v>
      </c>
      <c r="T34" s="11">
        <f>IF(INPUTS!$C$6="Y",(T11*INPUTS!$K$27*T4),0)</f>
        <v>0</v>
      </c>
      <c r="U34" s="11">
        <f>IF(INPUTS!$C$6="Y",(U11*INPUTS!$K$27*U4),0)</f>
        <v>0</v>
      </c>
      <c r="V34" s="11">
        <f>IF(INPUTS!$C$6="Y",(V11*INPUTS!$K$27*V4),0)</f>
        <v>0</v>
      </c>
      <c r="W34" s="11">
        <f>IF(INPUTS!$C$6="Y",(W11*INPUTS!$K$27*W4),0)</f>
        <v>0</v>
      </c>
      <c r="X34" s="11">
        <f>IF(INPUTS!$C$6="Y",(X11*INPUTS!$K$27*X4),0)</f>
        <v>0</v>
      </c>
      <c r="Y34" s="11">
        <f>IF(INPUTS!$C$6="Y",(Y11*INPUTS!$K$27*Y4),0)</f>
        <v>0</v>
      </c>
      <c r="Z34" s="11">
        <f>IF(INPUTS!$C$6="Y",(Z11*INPUTS!$K$27*Z4),0)</f>
        <v>0</v>
      </c>
      <c r="AA34" s="11">
        <f>IF(INPUTS!$C$6="Y",(AA11*INPUTS!$K$27*AA4),0)</f>
        <v>0</v>
      </c>
      <c r="AB34" s="69"/>
    </row>
    <row r="35" spans="1:28" s="11" customFormat="1" x14ac:dyDescent="0.25">
      <c r="A35" s="10" t="s">
        <v>113</v>
      </c>
      <c r="C35" s="11">
        <f>IF(INPUTS!$C$6="N",(C11*C14),(C11*INPUTS!$K$28*C14))</f>
        <v>840</v>
      </c>
      <c r="D35" s="11">
        <f>IF(INPUTS!$C$6="N",(D11*D14),(D11*INPUTS!$K$28*D14))</f>
        <v>947.1</v>
      </c>
      <c r="E35" s="11">
        <f>IF(INPUTS!$C$6="N",(E11*E14),(E11*INPUTS!$K$28*E14))</f>
        <v>1067.8552500000001</v>
      </c>
      <c r="F35" s="11">
        <f>IF(INPUTS!$C$6="N",(F11*F14),(F11*INPUTS!$K$28*F14))</f>
        <v>1204.006794375</v>
      </c>
      <c r="G35" s="11">
        <f>IF(INPUTS!$C$6="N",(G11*G14),(G11*INPUTS!$K$28*G14))</f>
        <v>1357.5176606578127</v>
      </c>
      <c r="H35" s="11">
        <f>IF(INPUTS!$C$6="N",(H11*H14),(H11*INPUTS!$K$28*H14))</f>
        <v>1530.6011623916838</v>
      </c>
      <c r="I35" s="11">
        <f>IF(INPUTS!$C$6="N",(I11*I14),(I11*INPUTS!$K$28*I14))</f>
        <v>1725.7528105966235</v>
      </c>
      <c r="J35" s="11">
        <f>IF(INPUTS!$C$6="N",(J11*J14),(J11*INPUTS!$K$28*J14))</f>
        <v>1945.7862939476929</v>
      </c>
      <c r="K35" s="11">
        <f>IF(INPUTS!$C$6="N",(K11*K14),(K11*INPUTS!$K$28*K14))</f>
        <v>2193.8740464260236</v>
      </c>
      <c r="L35" s="11">
        <f>IF(INPUTS!$C$6="N",(L11*L14),(L11*INPUTS!$K$28*L14))</f>
        <v>2473.5929873453415</v>
      </c>
      <c r="M35" s="11">
        <f>IF(INPUTS!$C$6="N",(M11*M14),(M11*INPUTS!$K$28*M14))</f>
        <v>2788.9760932318727</v>
      </c>
      <c r="N35" s="11">
        <f>IF(INPUTS!$C$6="N",(N11*N14),(N11*INPUTS!$K$28*N14))</f>
        <v>3144.5705451189365</v>
      </c>
      <c r="O35" s="11">
        <f>IF(INPUTS!$C$6="N",(O11*O14),(O11*INPUTS!$K$28*O14))</f>
        <v>3545.5032896216012</v>
      </c>
      <c r="P35" s="11">
        <f>IF(INPUTS!$C$6="N",(P11*P14),(P11*INPUTS!$K$28*P14))</f>
        <v>3997.5549590483547</v>
      </c>
      <c r="Q35" s="11">
        <f>IF(INPUTS!$C$6="N",(Q11*Q14),(Q11*INPUTS!$K$28*Q14))</f>
        <v>4507.2432163270196</v>
      </c>
      <c r="R35" s="11">
        <f>IF(INPUTS!$C$6="N",(R11*R14),(R11*INPUTS!$K$28*R14))</f>
        <v>5081.9167264087155</v>
      </c>
      <c r="S35" s="11">
        <f>IF(INPUTS!$C$6="N",(S11*S14),(S11*INPUTS!$K$28*S14))</f>
        <v>5729.8611090258264</v>
      </c>
      <c r="T35" s="11">
        <f>IF(INPUTS!$C$6="N",(T11*T14),(T11*INPUTS!$K$28*T14))</f>
        <v>6460.4184004266199</v>
      </c>
      <c r="U35" s="11">
        <f>IF(INPUTS!$C$6="N",(U11*U14),(U11*INPUTS!$K$28*U14))</f>
        <v>7284.1217464810134</v>
      </c>
      <c r="V35" s="11">
        <f>IF(INPUTS!$C$6="N",(V11*V14),(V11*INPUTS!$K$28*V14))</f>
        <v>8212.8472691573443</v>
      </c>
      <c r="W35" s="11">
        <f>IF(INPUTS!$C$6="N",(W11*W14),(W11*INPUTS!$K$28*W14))</f>
        <v>9259.9852959749041</v>
      </c>
      <c r="X35" s="11">
        <f>IF(INPUTS!$C$6="N",(X11*X14),(X11*INPUTS!$K$28*X14))</f>
        <v>10440.633421211704</v>
      </c>
      <c r="Y35" s="11">
        <f>IF(INPUTS!$C$6="N",(Y11*Y14),(Y11*INPUTS!$K$28*Y14))</f>
        <v>11771.814182416198</v>
      </c>
      <c r="Z35" s="11">
        <f>IF(INPUTS!$C$6="N",(Z11*Z14),(Z11*INPUTS!$K$28*Z14))</f>
        <v>13272.720490674265</v>
      </c>
      <c r="AA35" s="11">
        <f>IF(INPUTS!$C$6="N",(AA11*AA14),(AA11*INPUTS!$K$28*AA14))</f>
        <v>14964.992353235233</v>
      </c>
      <c r="AB35" s="69"/>
    </row>
    <row r="36" spans="1:28" x14ac:dyDescent="0.25">
      <c r="A36" s="10" t="s">
        <v>190</v>
      </c>
      <c r="C36" s="18">
        <f>C11*INPUTS!$K$48</f>
        <v>56</v>
      </c>
      <c r="D36" s="18">
        <f>D11*INPUTS!$K$48</f>
        <v>61.6</v>
      </c>
      <c r="E36" s="18">
        <f>E11*INPUTS!$K$48</f>
        <v>67.760000000000005</v>
      </c>
      <c r="F36" s="18">
        <f>F11*INPUTS!$K$48</f>
        <v>74.536000000000001</v>
      </c>
      <c r="G36" s="18">
        <f>G11*INPUTS!$K$48</f>
        <v>81.98960000000001</v>
      </c>
      <c r="H36" s="18">
        <f>H11*INPUTS!$K$48</f>
        <v>90.188560000000024</v>
      </c>
      <c r="I36" s="18">
        <f>I11*INPUTS!$K$48</f>
        <v>99.207416000000009</v>
      </c>
      <c r="J36" s="18">
        <f>J11*INPUTS!$K$48</f>
        <v>109.12815760000001</v>
      </c>
      <c r="K36" s="18">
        <f>K11*INPUTS!$K$48</f>
        <v>120.04097336000001</v>
      </c>
      <c r="L36" s="18">
        <f>L11*INPUTS!$K$48</f>
        <v>132.04507069600001</v>
      </c>
      <c r="M36" s="18">
        <f>M11*INPUTS!$K$48</f>
        <v>145.24957776560001</v>
      </c>
      <c r="N36" s="18">
        <f>N11*INPUTS!$K$48</f>
        <v>159.77453554216001</v>
      </c>
      <c r="O36" s="18">
        <f>O11*INPUTS!$K$48</f>
        <v>175.75198909637604</v>
      </c>
      <c r="P36" s="18">
        <f>P11*INPUTS!$K$48</f>
        <v>193.32718800601361</v>
      </c>
      <c r="Q36" s="18">
        <f>Q11*INPUTS!$K$48</f>
        <v>212.65990680661497</v>
      </c>
      <c r="R36" s="18">
        <f>R11*INPUTS!$K$48</f>
        <v>233.92589748727644</v>
      </c>
      <c r="S36" s="18">
        <f>S11*INPUTS!$K$48</f>
        <v>257.3184872360041</v>
      </c>
      <c r="T36" s="18">
        <f>T11*INPUTS!$K$48</f>
        <v>283.05033595960452</v>
      </c>
      <c r="U36" s="18">
        <f>U11*INPUTS!$K$48</f>
        <v>311.35536955556501</v>
      </c>
      <c r="V36" s="18">
        <f>V11*INPUTS!$K$48</f>
        <v>342.49090651112152</v>
      </c>
      <c r="W36" s="18">
        <f>W11*INPUTS!$K$48</f>
        <v>376.73999716223364</v>
      </c>
      <c r="X36" s="18">
        <f>X11*INPUTS!$K$48</f>
        <v>414.413996878457</v>
      </c>
      <c r="Y36" s="18">
        <f>Y11*INPUTS!$K$48</f>
        <v>455.85539656630266</v>
      </c>
      <c r="Z36" s="18">
        <f>Z11*INPUTS!$K$48</f>
        <v>501.44093622293298</v>
      </c>
      <c r="AA36" s="18">
        <f>AA11*INPUTS!$K$48</f>
        <v>551.58502984522625</v>
      </c>
    </row>
    <row r="37" spans="1:28" s="1" customFormat="1" ht="15.75" customHeight="1" x14ac:dyDescent="0.25">
      <c r="A37" s="1" t="s">
        <v>218</v>
      </c>
      <c r="B37" s="17"/>
      <c r="C37" s="25">
        <f>SUM(C33:C36)</f>
        <v>896</v>
      </c>
      <c r="D37" s="25">
        <f t="shared" ref="D37:AA37" si="4">SUM(D33:D36)</f>
        <v>1008.7</v>
      </c>
      <c r="E37" s="25">
        <f t="shared" si="4"/>
        <v>1135.6152500000001</v>
      </c>
      <c r="F37" s="25">
        <f t="shared" si="4"/>
        <v>1278.5427943750001</v>
      </c>
      <c r="G37" s="25">
        <f t="shared" si="4"/>
        <v>1439.5072606578128</v>
      </c>
      <c r="H37" s="25">
        <f t="shared" si="4"/>
        <v>1620.7897223916839</v>
      </c>
      <c r="I37" s="25">
        <f t="shared" si="4"/>
        <v>1824.9602265966234</v>
      </c>
      <c r="J37" s="25">
        <f t="shared" si="4"/>
        <v>2054.9144515476928</v>
      </c>
      <c r="K37" s="25">
        <f t="shared" si="4"/>
        <v>2313.9150197860235</v>
      </c>
      <c r="L37" s="25">
        <f t="shared" si="4"/>
        <v>2605.6380580413415</v>
      </c>
      <c r="M37" s="25">
        <f t="shared" si="4"/>
        <v>2934.2256709974727</v>
      </c>
      <c r="N37" s="25">
        <f t="shared" si="4"/>
        <v>3304.3450806610963</v>
      </c>
      <c r="O37" s="25">
        <f t="shared" si="4"/>
        <v>3721.255278717977</v>
      </c>
      <c r="P37" s="25">
        <f t="shared" si="4"/>
        <v>4190.882147054368</v>
      </c>
      <c r="Q37" s="25">
        <f t="shared" si="4"/>
        <v>4719.9031231336348</v>
      </c>
      <c r="R37" s="25">
        <f t="shared" si="4"/>
        <v>5315.8426238959919</v>
      </c>
      <c r="S37" s="25">
        <f t="shared" si="4"/>
        <v>5987.1795962618307</v>
      </c>
      <c r="T37" s="25">
        <f t="shared" si="4"/>
        <v>6743.468736386224</v>
      </c>
      <c r="U37" s="25">
        <f t="shared" si="4"/>
        <v>7595.4771160365781</v>
      </c>
      <c r="V37" s="25">
        <f t="shared" si="4"/>
        <v>8555.3381756684666</v>
      </c>
      <c r="W37" s="25">
        <f t="shared" si="4"/>
        <v>9636.7252931371386</v>
      </c>
      <c r="X37" s="25">
        <f t="shared" si="4"/>
        <v>10855.04741809016</v>
      </c>
      <c r="Y37" s="25">
        <f t="shared" si="4"/>
        <v>12227.669578982501</v>
      </c>
      <c r="Z37" s="25">
        <f t="shared" si="4"/>
        <v>13774.161426897197</v>
      </c>
      <c r="AA37" s="25">
        <f t="shared" si="4"/>
        <v>15516.577383080459</v>
      </c>
      <c r="AB37" s="70"/>
    </row>
    <row r="39" spans="1:28" x14ac:dyDescent="0.25">
      <c r="A39" s="1" t="s">
        <v>85</v>
      </c>
      <c r="C39" s="21">
        <f>C30-C37</f>
        <v>9580.6666666666661</v>
      </c>
      <c r="D39" s="21">
        <f t="shared" ref="D39:AA39" si="5">D30-D37</f>
        <v>9730.5266666666666</v>
      </c>
      <c r="E39" s="21">
        <f t="shared" si="5"/>
        <v>9887.0508641666656</v>
      </c>
      <c r="F39" s="21">
        <f t="shared" si="5"/>
        <v>10050.886209611042</v>
      </c>
      <c r="G39" s="21">
        <f t="shared" si="5"/>
        <v>10222.76078543533</v>
      </c>
      <c r="H39" s="21">
        <f t="shared" si="5"/>
        <v>10403.494258472831</v>
      </c>
      <c r="I39" s="21">
        <f t="shared" si="5"/>
        <v>10594.00967979801</v>
      </c>
      <c r="J39" s="21">
        <f t="shared" si="5"/>
        <v>10795.346805335097</v>
      </c>
      <c r="K39" s="21">
        <f t="shared" si="5"/>
        <v>11008.677132813404</v>
      </c>
      <c r="L39" s="21">
        <f t="shared" si="5"/>
        <v>11235.320875756934</v>
      </c>
      <c r="M39" s="21">
        <f t="shared" si="5"/>
        <v>11476.766123519519</v>
      </c>
      <c r="N39" s="21">
        <f t="shared" si="5"/>
        <v>11734.690468330671</v>
      </c>
      <c r="O39" s="21">
        <f t="shared" si="5"/>
        <v>12010.985416365605</v>
      </c>
      <c r="P39" s="21">
        <f t="shared" si="5"/>
        <v>12307.783940519965</v>
      </c>
      <c r="Q39" s="21">
        <f t="shared" si="5"/>
        <v>12627.491578446799</v>
      </c>
      <c r="R39" s="21">
        <f t="shared" si="5"/>
        <v>12972.821531166792</v>
      </c>
      <c r="S39" s="21">
        <f t="shared" si="5"/>
        <v>13346.834275944875</v>
      </c>
      <c r="T39" s="21">
        <f t="shared" si="5"/>
        <v>13752.982272985249</v>
      </c>
      <c r="U39" s="21">
        <f t="shared" si="5"/>
        <v>14195.160419788826</v>
      </c>
      <c r="V39" s="21">
        <f t="shared" si="5"/>
        <v>14677.762990821679</v>
      </c>
      <c r="W39" s="21">
        <f t="shared" si="5"/>
        <v>15205.7478946762</v>
      </c>
      <c r="X39" s="21">
        <f t="shared" si="5"/>
        <v>15784.709187541461</v>
      </c>
      <c r="Y39" s="21">
        <f t="shared" si="5"/>
        <v>16420.958902082879</v>
      </c>
      <c r="Z39" s="21">
        <f t="shared" si="5"/>
        <v>17121.619386509898</v>
      </c>
      <c r="AA39" s="21">
        <f t="shared" si="5"/>
        <v>17894.727501651774</v>
      </c>
    </row>
    <row r="40" spans="1:28" s="86" customFormat="1" ht="8.25" x14ac:dyDescent="0.15">
      <c r="A40" s="86" t="s">
        <v>219</v>
      </c>
      <c r="B40" s="87"/>
      <c r="C40" s="87">
        <f>IFERROR(C39/C30, "-")</f>
        <v>0.91447661469933184</v>
      </c>
      <c r="D40" s="87">
        <f t="shared" ref="D40:AA40" si="6">IFERROR(D39/D30, "-")</f>
        <v>0.90607331129988244</v>
      </c>
      <c r="E40" s="87">
        <f t="shared" si="6"/>
        <v>0.89697453971317576</v>
      </c>
      <c r="F40" s="87">
        <f t="shared" si="6"/>
        <v>0.88714852320225768</v>
      </c>
      <c r="G40" s="87">
        <f t="shared" si="6"/>
        <v>0.8765671261397523</v>
      </c>
      <c r="H40" s="87">
        <f t="shared" si="6"/>
        <v>0.86520696575604716</v>
      </c>
      <c r="I40" s="87">
        <f t="shared" si="6"/>
        <v>0.85305059595506894</v>
      </c>
      <c r="J40" s="87">
        <f t="shared" si="6"/>
        <v>0.84008772969911016</v>
      </c>
      <c r="K40" s="87">
        <f t="shared" si="6"/>
        <v>0.82631645604083548</v>
      </c>
      <c r="L40" s="87">
        <f t="shared" si="6"/>
        <v>0.811744397877041</v>
      </c>
      <c r="M40" s="87">
        <f t="shared" si="6"/>
        <v>0.79638974798987339</v>
      </c>
      <c r="N40" s="87">
        <f t="shared" si="6"/>
        <v>0.78028211517309543</v>
      </c>
      <c r="O40" s="87">
        <f t="shared" si="6"/>
        <v>0.76346311051032345</v>
      </c>
      <c r="P40" s="87">
        <f t="shared" si="6"/>
        <v>0.74598660735302391</v>
      </c>
      <c r="Q40" s="87">
        <f t="shared" si="6"/>
        <v>0.72791861807908087</v>
      </c>
      <c r="R40" s="87">
        <f t="shared" si="6"/>
        <v>0.70933674658657742</v>
      </c>
      <c r="S40" s="87">
        <f t="shared" si="6"/>
        <v>0.690329197246072</v>
      </c>
      <c r="T40" s="87">
        <f t="shared" si="6"/>
        <v>0.67099334741888006</v>
      </c>
      <c r="U40" s="87">
        <f t="shared" si="6"/>
        <v>0.65143391956526941</v>
      </c>
      <c r="V40" s="87">
        <f t="shared" si="6"/>
        <v>0.63176081770744807</v>
      </c>
      <c r="W40" s="87">
        <f t="shared" si="6"/>
        <v>0.61208671856936903</v>
      </c>
      <c r="X40" s="87">
        <f t="shared" si="6"/>
        <v>0.5925245272024966</v>
      </c>
      <c r="Y40" s="87">
        <f t="shared" si="6"/>
        <v>0.5731848180074629</v>
      </c>
      <c r="Z40" s="87">
        <f t="shared" si="6"/>
        <v>0.55417338341162892</v>
      </c>
      <c r="AA40" s="87">
        <f t="shared" si="6"/>
        <v>0.5355890038832043</v>
      </c>
    </row>
    <row r="42" spans="1:28" x14ac:dyDescent="0.25">
      <c r="A42" s="1" t="s">
        <v>58</v>
      </c>
      <c r="B42" s="17"/>
      <c r="C42" s="21"/>
    </row>
    <row r="43" spans="1:28" x14ac:dyDescent="0.25">
      <c r="A43" s="1" t="s">
        <v>109</v>
      </c>
      <c r="B43" s="17"/>
      <c r="C43" s="21"/>
    </row>
    <row r="44" spans="1:28" x14ac:dyDescent="0.25">
      <c r="A44" s="10" t="s">
        <v>69</v>
      </c>
      <c r="C44" s="18">
        <f>IF(INPUTS!C6="Y",INPUTS!G24,0)</f>
        <v>50</v>
      </c>
      <c r="D44" s="21">
        <f>C44+(C44*INPUTS!$G$38)</f>
        <v>51.25</v>
      </c>
      <c r="E44" s="21">
        <f>D44+(D44*INPUTS!$G$38)</f>
        <v>52.53125</v>
      </c>
      <c r="F44" s="21">
        <f>E44+(E44*INPUTS!$G$38)</f>
        <v>53.844531250000003</v>
      </c>
      <c r="G44" s="21">
        <f>F44+(F44*INPUTS!$G$38)</f>
        <v>55.190644531250001</v>
      </c>
      <c r="H44" s="21">
        <f>G44+(G44*INPUTS!$G$38)</f>
        <v>56.57041064453125</v>
      </c>
      <c r="I44" s="21">
        <f>H44+(H44*INPUTS!$G$38)</f>
        <v>57.984670910644532</v>
      </c>
      <c r="J44" s="21">
        <f>I44+(I44*INPUTS!$G$38)</f>
        <v>59.434287683410645</v>
      </c>
      <c r="K44" s="21">
        <f>J44+(J44*INPUTS!$G$38)</f>
        <v>60.920144875495907</v>
      </c>
      <c r="L44" s="21">
        <f>K44+(K44*INPUTS!$G$38)</f>
        <v>62.443148497383305</v>
      </c>
      <c r="M44" s="21">
        <f>L44+(L44*INPUTS!$G$38)</f>
        <v>64.004227209817884</v>
      </c>
      <c r="N44" s="21">
        <f>M44+(M44*INPUTS!$G$38)</f>
        <v>65.604332890063333</v>
      </c>
      <c r="O44" s="21">
        <f>N44+(N44*INPUTS!$G$38)</f>
        <v>67.244441212314911</v>
      </c>
      <c r="P44" s="21">
        <f>O44+(O44*INPUTS!$G$38)</f>
        <v>68.925552242622786</v>
      </c>
      <c r="Q44" s="21">
        <f>P44+(P44*INPUTS!$G$38)</f>
        <v>70.648691048688349</v>
      </c>
      <c r="R44" s="21">
        <f>Q44+(Q44*INPUTS!$G$38)</f>
        <v>72.414908324905554</v>
      </c>
      <c r="S44" s="21">
        <f>R44+(R44*INPUTS!$G$38)</f>
        <v>74.225281033028196</v>
      </c>
      <c r="T44" s="21">
        <f>S44+(S44*INPUTS!$G$38)</f>
        <v>76.080913058853895</v>
      </c>
      <c r="U44" s="21">
        <f>T44+(T44*INPUTS!$G$38)</f>
        <v>77.982935885325247</v>
      </c>
      <c r="V44" s="21">
        <f>U44+(U44*INPUTS!$G$38)</f>
        <v>79.932509282458383</v>
      </c>
      <c r="W44" s="21">
        <f>V44+(V44*INPUTS!$G$38)</f>
        <v>81.930822014519848</v>
      </c>
      <c r="X44" s="21">
        <f>W44+(W44*INPUTS!$G$38)</f>
        <v>83.979092564882848</v>
      </c>
      <c r="Y44" s="21">
        <f>X44+(X44*INPUTS!$G$38)</f>
        <v>86.078569879004917</v>
      </c>
      <c r="Z44" s="21">
        <f>Y44+(Y44*INPUTS!$G$38)</f>
        <v>88.230534125980043</v>
      </c>
      <c r="AA44" s="21">
        <f>Z44+(Z44*INPUTS!$G$38)</f>
        <v>90.43629747912955</v>
      </c>
    </row>
    <row r="45" spans="1:28" s="37" customFormat="1" x14ac:dyDescent="0.25">
      <c r="A45" s="36" t="s">
        <v>70</v>
      </c>
      <c r="B45" s="18"/>
      <c r="C45" s="18">
        <f>IF(INPUTS!$C$6="Y",INPUTS!$G$27,0)</f>
        <v>420</v>
      </c>
      <c r="D45" s="21">
        <f>C45+(C45*INPUTS!$G$38)</f>
        <v>430.5</v>
      </c>
      <c r="E45" s="21">
        <f>D45+(D45*INPUTS!$G$38)</f>
        <v>441.26249999999999</v>
      </c>
      <c r="F45" s="21">
        <f>E45+(E45*INPUTS!$G$38)</f>
        <v>452.2940625</v>
      </c>
      <c r="G45" s="21">
        <f>F45+(F45*INPUTS!$G$38)</f>
        <v>463.6014140625</v>
      </c>
      <c r="H45" s="21">
        <f>G45+(G45*INPUTS!$G$38)</f>
        <v>475.1914494140625</v>
      </c>
      <c r="I45" s="21">
        <f>H45+(H45*INPUTS!$G$38)</f>
        <v>487.07123564941406</v>
      </c>
      <c r="J45" s="21">
        <f>I45+(I45*INPUTS!$G$38)</f>
        <v>499.24801654064942</v>
      </c>
      <c r="K45" s="21">
        <f>J45+(J45*INPUTS!$G$38)</f>
        <v>511.72921695416568</v>
      </c>
      <c r="L45" s="21">
        <f>K45+(K45*INPUTS!$G$38)</f>
        <v>524.52244737801982</v>
      </c>
      <c r="M45" s="21">
        <f>L45+(L45*INPUTS!$G$38)</f>
        <v>537.63550856247036</v>
      </c>
      <c r="N45" s="21">
        <f>M45+(M45*INPUTS!$G$38)</f>
        <v>551.07639627653214</v>
      </c>
      <c r="O45" s="21">
        <f>N45+(N45*INPUTS!$G$38)</f>
        <v>564.8533061834454</v>
      </c>
      <c r="P45" s="21">
        <f>O45+(O45*INPUTS!$G$38)</f>
        <v>578.97463883803152</v>
      </c>
      <c r="Q45" s="21">
        <f>P45+(P45*INPUTS!$G$38)</f>
        <v>593.44900480898229</v>
      </c>
      <c r="R45" s="21">
        <f>Q45+(Q45*INPUTS!$G$38)</f>
        <v>608.28522992920682</v>
      </c>
      <c r="S45" s="21">
        <f>R45+(R45*INPUTS!$G$38)</f>
        <v>623.49236067743698</v>
      </c>
      <c r="T45" s="21">
        <f>S45+(S45*INPUTS!$G$38)</f>
        <v>639.07966969437291</v>
      </c>
      <c r="U45" s="21">
        <f>T45+(T45*INPUTS!$G$38)</f>
        <v>655.05666143673227</v>
      </c>
      <c r="V45" s="21">
        <f>U45+(U45*INPUTS!$G$38)</f>
        <v>671.43307797265061</v>
      </c>
      <c r="W45" s="21">
        <f>V45+(V45*INPUTS!$G$38)</f>
        <v>688.2189049219669</v>
      </c>
      <c r="X45" s="21">
        <f>W45+(W45*INPUTS!$G$38)</f>
        <v>705.42437754501611</v>
      </c>
      <c r="Y45" s="21">
        <f>X45+(X45*INPUTS!$G$38)</f>
        <v>723.05998698364147</v>
      </c>
      <c r="Z45" s="21">
        <f>Y45+(Y45*INPUTS!$G$38)</f>
        <v>741.13648665823246</v>
      </c>
      <c r="AA45" s="21">
        <f>Z45+(Z45*INPUTS!$G$38)</f>
        <v>759.66489882468829</v>
      </c>
      <c r="AB45" s="71"/>
    </row>
    <row r="46" spans="1:28" x14ac:dyDescent="0.25">
      <c r="A46" s="10" t="s">
        <v>59</v>
      </c>
      <c r="C46" s="18">
        <f>IF(INPUTS!C6="Y",INPUTS!$C$11*INPUTS!$G$15*INPUTS!$G$28,0)</f>
        <v>750</v>
      </c>
      <c r="D46" s="21">
        <f>C46+(C46*INPUTS!$G$38)</f>
        <v>768.75</v>
      </c>
      <c r="E46" s="21">
        <f>D46+(D46*INPUTS!$G$38)</f>
        <v>787.96875</v>
      </c>
      <c r="F46" s="21">
        <f>E46+(E46*INPUTS!$G$38)</f>
        <v>807.66796875</v>
      </c>
      <c r="G46" s="21">
        <f>F46+(F46*INPUTS!$G$38)</f>
        <v>827.85966796875005</v>
      </c>
      <c r="H46" s="21">
        <f>G46+(G46*INPUTS!$G$38)</f>
        <v>848.55615966796881</v>
      </c>
      <c r="I46" s="21">
        <f>H46+(H46*INPUTS!$G$38)</f>
        <v>869.77006365966804</v>
      </c>
      <c r="J46" s="21">
        <f>I46+(I46*INPUTS!$G$38)</f>
        <v>891.5143152511597</v>
      </c>
      <c r="K46" s="21">
        <f>J46+(J46*INPUTS!$G$38)</f>
        <v>913.80217313243872</v>
      </c>
      <c r="L46" s="21">
        <f>K46+(K46*INPUTS!$G$38)</f>
        <v>936.64722746074972</v>
      </c>
      <c r="M46" s="21">
        <f>L46+(L46*INPUTS!$G$38)</f>
        <v>960.06340814726843</v>
      </c>
      <c r="N46" s="21">
        <f>M46+(M46*INPUTS!$G$38)</f>
        <v>984.06499335095009</v>
      </c>
      <c r="O46" s="21">
        <f>N46+(N46*INPUTS!$G$38)</f>
        <v>1008.6666181847238</v>
      </c>
      <c r="P46" s="21">
        <f>O46+(O46*INPUTS!$G$38)</f>
        <v>1033.8832836393419</v>
      </c>
      <c r="Q46" s="21">
        <f>P46+(P46*INPUTS!$G$38)</f>
        <v>1059.7303657303255</v>
      </c>
      <c r="R46" s="21">
        <f>Q46+(Q46*INPUTS!$G$38)</f>
        <v>1086.2236248735837</v>
      </c>
      <c r="S46" s="21">
        <f>R46+(R46*INPUTS!$G$38)</f>
        <v>1113.3792154954233</v>
      </c>
      <c r="T46" s="21">
        <f>S46+(S46*INPUTS!$G$38)</f>
        <v>1141.2136958828089</v>
      </c>
      <c r="U46" s="21">
        <f>T46+(T46*INPUTS!$G$38)</f>
        <v>1169.7440382798791</v>
      </c>
      <c r="V46" s="21">
        <f>U46+(U46*INPUTS!$G$38)</f>
        <v>1198.987639236876</v>
      </c>
      <c r="W46" s="21">
        <f>V46+(V46*INPUTS!$G$38)</f>
        <v>1228.9623302177979</v>
      </c>
      <c r="X46" s="21">
        <f>W46+(W46*INPUTS!$G$38)</f>
        <v>1259.6863884732429</v>
      </c>
      <c r="Y46" s="21">
        <f>X46+(X46*INPUTS!$G$38)</f>
        <v>1291.1785481850741</v>
      </c>
      <c r="Z46" s="21">
        <f>Y46+(Y46*INPUTS!$G$38)</f>
        <v>1323.4580118897009</v>
      </c>
      <c r="AA46" s="21">
        <f>Z46+(Z46*INPUTS!$G$38)</f>
        <v>1356.5444621869433</v>
      </c>
    </row>
    <row r="47" spans="1:28" s="11" customFormat="1" x14ac:dyDescent="0.25">
      <c r="A47" s="18" t="s">
        <v>81</v>
      </c>
      <c r="B47" s="18"/>
      <c r="C47" s="18">
        <f>IF(INPUTS!$C$6="y",(IF(C$1=INPUTS!$G$20,1,0))*(INPUTS!$G$22*INPUTS!$C$13),0)</f>
        <v>0</v>
      </c>
      <c r="D47" s="18">
        <f>IF(INPUTS!$C$6="y",(IF(D$1=INPUTS!$G$20,1,0))*(INPUTS!$G$22*INPUTS!$C$13),0)</f>
        <v>0</v>
      </c>
      <c r="E47" s="18">
        <f>IF(INPUTS!$C$6="y",(IF(E$1=INPUTS!$G$20,1,0))*(INPUTS!$G$22*INPUTS!$C$13),0)</f>
        <v>0</v>
      </c>
      <c r="F47" s="18">
        <f>IF(INPUTS!$C$6="y",(IF(F$1=INPUTS!$G$20,1,0))*(INPUTS!$G$22*INPUTS!$C$13),0)</f>
        <v>0</v>
      </c>
      <c r="G47" s="18">
        <f>IF(INPUTS!$C$6="y",(IF(G$1=INPUTS!$G$20,1,0))*(INPUTS!$G$22*INPUTS!$C$13),0)</f>
        <v>0</v>
      </c>
      <c r="H47" s="18">
        <f>IF(INPUTS!$C$6="y",(IF(H$1=INPUTS!$G$20,1,0))*(INPUTS!$G$22*INPUTS!$C$13),0)</f>
        <v>0</v>
      </c>
      <c r="I47" s="18">
        <f>IF(INPUTS!$C$6="y",(IF(I$1=INPUTS!$G$20,1,0))*(INPUTS!$G$22*INPUTS!$C$13),0)</f>
        <v>0</v>
      </c>
      <c r="J47" s="18">
        <f>IF(INPUTS!$C$6="y",(IF(J$1=INPUTS!$G$20,1,0))*(INPUTS!$G$22*INPUTS!$C$13),0)</f>
        <v>0</v>
      </c>
      <c r="K47" s="18">
        <f>IF(INPUTS!$C$6="y",(IF(K$1=INPUTS!$G$20,1,0))*(INPUTS!$G$22*INPUTS!$C$13),0)</f>
        <v>0</v>
      </c>
      <c r="L47" s="18">
        <f>IF(INPUTS!$C$6="y",(IF(L$1=INPUTS!$G$20,1,0))*(INPUTS!$G$22*INPUTS!$C$13),0)</f>
        <v>6798</v>
      </c>
      <c r="M47" s="18">
        <f>IF(INPUTS!$C$6="y",(IF(M$1=INPUTS!$G$20,1,0))*(INPUTS!$G$22*INPUTS!$C$13),0)</f>
        <v>0</v>
      </c>
      <c r="N47" s="18">
        <f>IF(INPUTS!$C$6="y",(IF(N$1=INPUTS!$G$20,1,0))*(INPUTS!$G$22*INPUTS!$C$13),0)</f>
        <v>0</v>
      </c>
      <c r="O47" s="18">
        <f>IF(INPUTS!$C$6="y",(IF(O$1=INPUTS!$G$20,1,0))*(INPUTS!$G$22*INPUTS!$C$13),0)</f>
        <v>0</v>
      </c>
      <c r="P47" s="18">
        <f>IF(INPUTS!$C$6="y",(IF(P$1=INPUTS!$G$20,1,0))*(INPUTS!$G$22*INPUTS!$C$13),0)</f>
        <v>0</v>
      </c>
      <c r="Q47" s="18">
        <f>IF(INPUTS!$C$6="y",(IF(Q$1=INPUTS!$G$20,1,0))*(INPUTS!$G$22*INPUTS!$C$13),0)</f>
        <v>0</v>
      </c>
      <c r="R47" s="18">
        <f>IF(INPUTS!$C$6="y",(IF(R$1=INPUTS!$G$20,1,0))*(INPUTS!$G$22*INPUTS!$C$13),0)</f>
        <v>0</v>
      </c>
      <c r="S47" s="18">
        <f>IF(INPUTS!$C$6="y",(IF(S$1=INPUTS!$G$20,1,0))*(INPUTS!$G$22*INPUTS!$C$13),0)</f>
        <v>0</v>
      </c>
      <c r="T47" s="18">
        <f>IF(INPUTS!$C$6="y",(IF(T$1=INPUTS!$G$20,1,0))*(INPUTS!$G$22*INPUTS!$C$13),0)</f>
        <v>0</v>
      </c>
      <c r="U47" s="18">
        <f>IF(INPUTS!$C$6="y",(IF(U$1=INPUTS!$G$20,1,0))*(INPUTS!$G$22*INPUTS!$C$13),0)</f>
        <v>0</v>
      </c>
      <c r="V47" s="18">
        <f>IF(INPUTS!$C$6="y",(IF(V$1=INPUTS!$G$20,1,0))*(INPUTS!$G$22*INPUTS!$C$13),0)</f>
        <v>0</v>
      </c>
      <c r="W47" s="18">
        <f>IF(INPUTS!$C$6="y",(IF(W$1=INPUTS!$G$20,1,0))*(INPUTS!$G$22*INPUTS!$C$13),0)</f>
        <v>0</v>
      </c>
      <c r="X47" s="18">
        <f>IF(INPUTS!$C$6="y",(IF(X$1=INPUTS!$G$20,1,0))*(INPUTS!$G$22*INPUTS!$C$13),0)</f>
        <v>0</v>
      </c>
      <c r="Y47" s="18">
        <f>IF(INPUTS!$C$6="y",(IF(Y$1=INPUTS!$G$20,1,0))*(INPUTS!$G$22*INPUTS!$C$13),0)</f>
        <v>0</v>
      </c>
      <c r="Z47" s="18">
        <f>IF(INPUTS!$C$6="y",(IF(Z$1=INPUTS!$G$20,1,0))*(INPUTS!$G$22*INPUTS!$C$13),0)</f>
        <v>0</v>
      </c>
      <c r="AA47" s="18">
        <f>IF(INPUTS!$C$6="y",(IF(AA$1=INPUTS!$G$20,1,0))*(INPUTS!$G$22*INPUTS!$C$13),0)</f>
        <v>0</v>
      </c>
      <c r="AB47" s="91">
        <f>SUM(C47:AA48)</f>
        <v>13596</v>
      </c>
    </row>
    <row r="48" spans="1:28" s="11" customFormat="1" x14ac:dyDescent="0.25">
      <c r="A48" s="18" t="s">
        <v>82</v>
      </c>
      <c r="B48" s="18"/>
      <c r="C48" s="18">
        <f>IF(INPUTS!$C$6="y",(IF(C$1=INPUTS!$G$21,1,0))*(INPUTS!$G$22*INPUTS!$C$13),0)</f>
        <v>0</v>
      </c>
      <c r="D48" s="18">
        <f>IF(INPUTS!$C$6="y",(IF(D$1=INPUTS!$G$21,1,0))*(INPUTS!$G$22*INPUTS!$C$13),0)</f>
        <v>0</v>
      </c>
      <c r="E48" s="18">
        <f>IF(INPUTS!$C$6="y",(IF(E$1=INPUTS!$G$21,1,0))*(INPUTS!$G$22*INPUTS!$C$13),0)</f>
        <v>0</v>
      </c>
      <c r="F48" s="18">
        <f>IF(INPUTS!$C$6="y",(IF(F$1=INPUTS!$G$21,1,0))*(INPUTS!$G$22*INPUTS!$C$13),0)</f>
        <v>0</v>
      </c>
      <c r="G48" s="18">
        <f>IF(INPUTS!$C$6="y",(IF(G$1=INPUTS!$G$21,1,0))*(INPUTS!$G$22*INPUTS!$C$13),0)</f>
        <v>0</v>
      </c>
      <c r="H48" s="18">
        <f>IF(INPUTS!$C$6="y",(IF(H$1=INPUTS!$G$21,1,0))*(INPUTS!$G$22*INPUTS!$C$13),0)</f>
        <v>0</v>
      </c>
      <c r="I48" s="18">
        <f>IF(INPUTS!$C$6="y",(IF(I$1=INPUTS!$G$21,1,0))*(INPUTS!$G$22*INPUTS!$C$13),0)</f>
        <v>0</v>
      </c>
      <c r="J48" s="18">
        <f>IF(INPUTS!$C$6="y",(IF(J$1=INPUTS!$G$21,1,0))*(INPUTS!$G$22*INPUTS!$C$13),0)</f>
        <v>0</v>
      </c>
      <c r="K48" s="18">
        <f>IF(INPUTS!$C$6="y",(IF(K$1=INPUTS!$G$21,1,0))*(INPUTS!$G$22*INPUTS!$C$13),0)</f>
        <v>0</v>
      </c>
      <c r="L48" s="18">
        <f>IF(INPUTS!$C$6="y",(IF(L$1=INPUTS!$G$21,1,0))*(INPUTS!$G$22*INPUTS!$C$13),0)</f>
        <v>0</v>
      </c>
      <c r="M48" s="18">
        <f>IF(INPUTS!$C$6="y",(IF(M$1=INPUTS!$G$21,1,0))*(INPUTS!$G$22*INPUTS!$C$13),0)</f>
        <v>0</v>
      </c>
      <c r="N48" s="18">
        <f>IF(INPUTS!$C$6="y",(IF(N$1=INPUTS!$G$21,1,0))*(INPUTS!$G$22*INPUTS!$C$13),0)</f>
        <v>0</v>
      </c>
      <c r="O48" s="18">
        <f>IF(INPUTS!$C$6="y",(IF(O$1=INPUTS!$G$21,1,0))*(INPUTS!$G$22*INPUTS!$C$13),0)</f>
        <v>0</v>
      </c>
      <c r="P48" s="18">
        <f>IF(INPUTS!$C$6="y",(IF(P$1=INPUTS!$G$21,1,0))*(INPUTS!$G$22*INPUTS!$C$13),0)</f>
        <v>0</v>
      </c>
      <c r="Q48" s="18">
        <f>IF(INPUTS!$C$6="y",(IF(Q$1=INPUTS!$G$21,1,0))*(INPUTS!$G$22*INPUTS!$C$13),0)</f>
        <v>0</v>
      </c>
      <c r="R48" s="18">
        <f>IF(INPUTS!$C$6="y",(IF(R$1=INPUTS!$G$21,1,0))*(INPUTS!$G$22*INPUTS!$C$13),0)</f>
        <v>0</v>
      </c>
      <c r="S48" s="18">
        <f>IF(INPUTS!$C$6="y",(IF(S$1=INPUTS!$G$21,1,0))*(INPUTS!$G$22*INPUTS!$C$13),0)</f>
        <v>0</v>
      </c>
      <c r="T48" s="18">
        <f>IF(INPUTS!$C$6="y",(IF(T$1=INPUTS!$G$21,1,0))*(INPUTS!$G$22*INPUTS!$C$13),0)</f>
        <v>0</v>
      </c>
      <c r="U48" s="18">
        <f>IF(INPUTS!$C$6="y",(IF(U$1=INPUTS!$G$21,1,0))*(INPUTS!$G$22*INPUTS!$C$13),0)</f>
        <v>0</v>
      </c>
      <c r="V48" s="18">
        <f>IF(INPUTS!$C$6="y",(IF(V$1=INPUTS!$G$21,1,0))*(INPUTS!$G$22*INPUTS!$C$13),0)</f>
        <v>6798</v>
      </c>
      <c r="W48" s="18">
        <f>IF(INPUTS!$C$6="y",(IF(W$1=INPUTS!$G$21,1,0))*(INPUTS!$G$22*INPUTS!$C$13),0)</f>
        <v>0</v>
      </c>
      <c r="X48" s="18">
        <f>IF(INPUTS!$C$6="y",(IF(X$1=INPUTS!$G$21,1,0))*(INPUTS!$G$22*INPUTS!$C$13),0)</f>
        <v>0</v>
      </c>
      <c r="Y48" s="18">
        <f>IF(INPUTS!$C$6="y",(IF(Y$1=INPUTS!$G$21,1,0))*(INPUTS!$G$22*INPUTS!$C$13),0)</f>
        <v>0</v>
      </c>
      <c r="Z48" s="18">
        <f>IF(INPUTS!$C$6="y",(IF(Z$1=INPUTS!$G$21,1,0))*(INPUTS!$G$22*INPUTS!$C$13),0)</f>
        <v>0</v>
      </c>
      <c r="AA48" s="18">
        <f>IF(INPUTS!$C$6="y",(IF(AA$1=INPUTS!$G$21,1,0))*(INPUTS!$G$22*INPUTS!$C$13),0)</f>
        <v>0</v>
      </c>
      <c r="AB48" s="91"/>
    </row>
    <row r="49" spans="1:28" s="11" customFormat="1" x14ac:dyDescent="0.25">
      <c r="A49" s="18" t="s">
        <v>216</v>
      </c>
      <c r="B49" s="18"/>
      <c r="C49" s="11">
        <f>(IF(C$1=INPUTS!$K$41,1,0))*INPUTS!$K$44*INPUTS!K$6</f>
        <v>0</v>
      </c>
      <c r="D49" s="11">
        <f>(IF(D$1=INPUTS!$K$41,1,0))*INPUTS!$K$44*INPUTS!$K$6</f>
        <v>0</v>
      </c>
      <c r="E49" s="11">
        <f>(IF(E$1=INPUTS!$K$41,1,0))*INPUTS!$K$44*INPUTS!$K$6</f>
        <v>0</v>
      </c>
      <c r="F49" s="11">
        <f>(IF(F$1=INPUTS!$K$41,1,0))*INPUTS!$K$44*INPUTS!$K$6</f>
        <v>0</v>
      </c>
      <c r="G49" s="11">
        <f>(IF(G$1=INPUTS!$K$41,1,0))*INPUTS!$K$44*INPUTS!$K$6</f>
        <v>0</v>
      </c>
      <c r="H49" s="11">
        <f>(IF(H$1=INPUTS!$K$41,1,0))*INPUTS!$K$44*INPUTS!$K$6</f>
        <v>0</v>
      </c>
      <c r="I49" s="11">
        <f>(IF(I$1=INPUTS!$K$41,1,0))*INPUTS!$K$44*INPUTS!$K$6</f>
        <v>0</v>
      </c>
      <c r="J49" s="11">
        <f>(IF(J$1=INPUTS!$K$41,1,0))*INPUTS!$K$44*INPUTS!$K$6</f>
        <v>0</v>
      </c>
      <c r="K49" s="11">
        <f>(IF(K$1=INPUTS!$K$41,1,0))*INPUTS!$K$44*INPUTS!$K$6</f>
        <v>0</v>
      </c>
      <c r="L49" s="11">
        <f>(IF(L$1=INPUTS!$K$41,1,0))*INPUTS!$K$44*INPUTS!$K$6</f>
        <v>0</v>
      </c>
      <c r="M49" s="11">
        <f>(IF(M$1=INPUTS!$K$41,1,0))*INPUTS!$K$44*INPUTS!$K$6</f>
        <v>0</v>
      </c>
      <c r="N49" s="11">
        <f>(IF(N$1=INPUTS!$K$41,1,0))*INPUTS!$K$44*INPUTS!$K$6</f>
        <v>0</v>
      </c>
      <c r="O49" s="11">
        <f>(IF(O$1=INPUTS!$K$41,1,0))*INPUTS!$K$44*INPUTS!$K$6</f>
        <v>0</v>
      </c>
      <c r="P49" s="11">
        <f>(IF(P$1=INPUTS!$K$41,1,0))*INPUTS!$K$44*INPUTS!$K$6</f>
        <v>0</v>
      </c>
      <c r="Q49" s="11">
        <f>(IF(Q$1=INPUTS!$K$41,1,0))*INPUTS!$K$44*INPUTS!$K$6</f>
        <v>0</v>
      </c>
      <c r="R49" s="11">
        <f>(IF(R$1=INPUTS!$K$41,1,0))*INPUTS!$K$44*INPUTS!$K$6</f>
        <v>0</v>
      </c>
      <c r="S49" s="11">
        <f>(IF(S$1=INPUTS!$K$41,1,0))*INPUTS!$K$44*INPUTS!$K$6</f>
        <v>0</v>
      </c>
      <c r="T49" s="11">
        <f>(IF(T$1=INPUTS!$K$41,1,0))*INPUTS!$K$44*INPUTS!$K$6</f>
        <v>0</v>
      </c>
      <c r="U49" s="11">
        <f>(IF(U$1=INPUTS!$K$41,1,0))*INPUTS!$K$44*INPUTS!$K$6</f>
        <v>0</v>
      </c>
      <c r="V49" s="11">
        <f>(IF(V$1=INPUTS!$K$41,1,0))*INPUTS!$K$44*INPUTS!$K$6</f>
        <v>0</v>
      </c>
      <c r="W49" s="11">
        <f>(IF(W$1=INPUTS!$K$41,1,0))*INPUTS!$K$44*INPUTS!$K$6</f>
        <v>0</v>
      </c>
      <c r="X49" s="11">
        <f>(IF(X$1=INPUTS!$K$41,1,0))*INPUTS!$K$44*INPUTS!$K$6</f>
        <v>0</v>
      </c>
      <c r="Y49" s="11">
        <f>(IF(Y$1=INPUTS!$K$41,1,0))*INPUTS!$K$44*INPUTS!$K$6</f>
        <v>0</v>
      </c>
      <c r="Z49" s="11">
        <f>(IF(Z$1=INPUTS!$K$41,1,0))*INPUTS!$K$44*INPUTS!$K$6</f>
        <v>0</v>
      </c>
      <c r="AA49" s="11">
        <f>(IF(AA$1=INPUTS!$K$41,1,0))*INPUTS!$K$44*INPUTS!$K$6</f>
        <v>0</v>
      </c>
      <c r="AB49" s="79"/>
    </row>
    <row r="50" spans="1:28" s="1" customFormat="1" x14ac:dyDescent="0.25">
      <c r="A50" s="1" t="s">
        <v>86</v>
      </c>
      <c r="B50" s="17"/>
      <c r="C50" s="25">
        <f>SUM(C44:C49)</f>
        <v>1220</v>
      </c>
      <c r="D50" s="25">
        <f t="shared" ref="D50:AA50" si="7">SUM(D44:D49)</f>
        <v>1250.5</v>
      </c>
      <c r="E50" s="25">
        <f t="shared" si="7"/>
        <v>1281.7625</v>
      </c>
      <c r="F50" s="25">
        <f t="shared" si="7"/>
        <v>1313.8065624999999</v>
      </c>
      <c r="G50" s="25">
        <f t="shared" si="7"/>
        <v>1346.6517265625</v>
      </c>
      <c r="H50" s="25">
        <f t="shared" si="7"/>
        <v>1380.3180197265626</v>
      </c>
      <c r="I50" s="25">
        <f t="shared" si="7"/>
        <v>1414.8259702197265</v>
      </c>
      <c r="J50" s="25">
        <f t="shared" si="7"/>
        <v>1450.1966194752199</v>
      </c>
      <c r="K50" s="25">
        <f t="shared" si="7"/>
        <v>1486.4515349621001</v>
      </c>
      <c r="L50" s="25">
        <f t="shared" si="7"/>
        <v>8321.6128233361524</v>
      </c>
      <c r="M50" s="25">
        <f t="shared" si="7"/>
        <v>1561.7031439195566</v>
      </c>
      <c r="N50" s="25">
        <f t="shared" si="7"/>
        <v>1600.7457225175456</v>
      </c>
      <c r="O50" s="25">
        <f t="shared" si="7"/>
        <v>1640.7643655804841</v>
      </c>
      <c r="P50" s="25">
        <f t="shared" si="7"/>
        <v>1681.7834747199963</v>
      </c>
      <c r="Q50" s="25">
        <f t="shared" si="7"/>
        <v>1723.8280615879962</v>
      </c>
      <c r="R50" s="25">
        <f t="shared" si="7"/>
        <v>1766.923763127696</v>
      </c>
      <c r="S50" s="25">
        <f t="shared" si="7"/>
        <v>1811.0968572058885</v>
      </c>
      <c r="T50" s="25">
        <f t="shared" si="7"/>
        <v>1856.3742786360358</v>
      </c>
      <c r="U50" s="25">
        <f t="shared" si="7"/>
        <v>1902.7836356019366</v>
      </c>
      <c r="V50" s="25">
        <f t="shared" si="7"/>
        <v>8748.353226491985</v>
      </c>
      <c r="W50" s="25">
        <f t="shared" si="7"/>
        <v>1999.1120571542847</v>
      </c>
      <c r="X50" s="25">
        <f t="shared" si="7"/>
        <v>2049.0898585831419</v>
      </c>
      <c r="Y50" s="25">
        <f t="shared" si="7"/>
        <v>2100.3171050477204</v>
      </c>
      <c r="Z50" s="25">
        <f t="shared" si="7"/>
        <v>2152.8250326739135</v>
      </c>
      <c r="AA50" s="25">
        <f t="shared" si="7"/>
        <v>2206.645658490761</v>
      </c>
      <c r="AB50" s="70"/>
    </row>
    <row r="51" spans="1:28" x14ac:dyDescent="0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8" x14ac:dyDescent="0.25">
      <c r="A52" s="1" t="s">
        <v>110</v>
      </c>
      <c r="B52" s="17"/>
    </row>
    <row r="53" spans="1:28" s="37" customFormat="1" x14ac:dyDescent="0.25">
      <c r="A53" s="36" t="s">
        <v>153</v>
      </c>
      <c r="B53" s="18"/>
      <c r="C53" s="18">
        <f>IF(INPUTS!$C$6="N",INPUTS!$G$26,0)</f>
        <v>0</v>
      </c>
      <c r="D53" s="21">
        <f>C53+(C53*INPUTS!$G$38)</f>
        <v>0</v>
      </c>
      <c r="E53" s="21">
        <f>D53+(D53*INPUTS!$G$38)</f>
        <v>0</v>
      </c>
      <c r="F53" s="21">
        <f>E53+(E53*INPUTS!$G$38)</f>
        <v>0</v>
      </c>
      <c r="G53" s="21">
        <f>F53+(F53*INPUTS!$G$38)</f>
        <v>0</v>
      </c>
      <c r="H53" s="21">
        <f>G53+(G53*INPUTS!$G$38)</f>
        <v>0</v>
      </c>
      <c r="I53" s="21">
        <f>H53+(H53*INPUTS!$G$38)</f>
        <v>0</v>
      </c>
      <c r="J53" s="21">
        <f>I53+(I53*INPUTS!$G$38)</f>
        <v>0</v>
      </c>
      <c r="K53" s="21">
        <f>J53+(J53*INPUTS!$G$38)</f>
        <v>0</v>
      </c>
      <c r="L53" s="21">
        <f>K53+(K53*INPUTS!$G$38)</f>
        <v>0</v>
      </c>
      <c r="M53" s="21">
        <f>L53+(L53*INPUTS!$G$38)</f>
        <v>0</v>
      </c>
      <c r="N53" s="21">
        <f>M53+(M53*INPUTS!$G$38)</f>
        <v>0</v>
      </c>
      <c r="O53" s="21">
        <f>N53+(N53*INPUTS!$G$38)</f>
        <v>0</v>
      </c>
      <c r="P53" s="21">
        <f>O53+(O53*INPUTS!$G$38)</f>
        <v>0</v>
      </c>
      <c r="Q53" s="21">
        <f>P53+(P53*INPUTS!$G$38)</f>
        <v>0</v>
      </c>
      <c r="R53" s="21">
        <f>Q53+(Q53*INPUTS!$G$38)</f>
        <v>0</v>
      </c>
      <c r="S53" s="21">
        <f>R53+(R53*INPUTS!$G$38)</f>
        <v>0</v>
      </c>
      <c r="T53" s="21">
        <f>S53+(S53*INPUTS!$G$38)</f>
        <v>0</v>
      </c>
      <c r="U53" s="21">
        <f>T53+(T53*INPUTS!$G$38)</f>
        <v>0</v>
      </c>
      <c r="V53" s="21">
        <f>U53+(U53*INPUTS!$G$38)</f>
        <v>0</v>
      </c>
      <c r="W53" s="21">
        <f>V53+(V53*INPUTS!$G$38)</f>
        <v>0</v>
      </c>
      <c r="X53" s="21">
        <f>W53+(W53*INPUTS!$G$38)</f>
        <v>0</v>
      </c>
      <c r="Y53" s="21">
        <f>X53+(X53*INPUTS!$G$38)</f>
        <v>0</v>
      </c>
      <c r="Z53" s="21">
        <f>Y53+(Y53*INPUTS!$G$38)</f>
        <v>0</v>
      </c>
      <c r="AA53" s="21">
        <f>Z53+(Z53*INPUTS!$G$38)</f>
        <v>0</v>
      </c>
      <c r="AB53" s="71"/>
    </row>
    <row r="54" spans="1:28" s="37" customFormat="1" x14ac:dyDescent="0.25">
      <c r="A54" s="36" t="s">
        <v>152</v>
      </c>
      <c r="B54" s="18"/>
      <c r="C54" s="18">
        <f>(IF(C$1&gt;INPUTS!$K$37,1,0))*(INPUTS!$K$45+INPUTS!$K$46)</f>
        <v>0</v>
      </c>
      <c r="D54" s="18">
        <f>(IF(D$1&gt;INPUTS!$K$37,1,0))*(INPUTS!$K$45+INPUTS!$K$46)</f>
        <v>0</v>
      </c>
      <c r="E54" s="18">
        <f>(IF(E$1&gt;INPUTS!$K$37,1,0))*(INPUTS!$K$45+INPUTS!$K$46)</f>
        <v>0</v>
      </c>
      <c r="F54" s="18">
        <f>(IF(F$1&gt;INPUTS!$K$37,1,0))*(INPUTS!$K$45+INPUTS!$K$46)</f>
        <v>420</v>
      </c>
      <c r="G54" s="18">
        <f>(IF(G$1&gt;INPUTS!$K$37,1,0))*(INPUTS!$K$45+INPUTS!$K$46)</f>
        <v>420</v>
      </c>
      <c r="H54" s="18">
        <f>(IF(H$1&gt;INPUTS!$K$37,1,0))*(INPUTS!$K$45+INPUTS!$K$46)</f>
        <v>420</v>
      </c>
      <c r="I54" s="18">
        <f>(IF(I$1&gt;INPUTS!$K$37,1,0))*(INPUTS!$K$45+INPUTS!$K$46)</f>
        <v>420</v>
      </c>
      <c r="J54" s="18">
        <f>(IF(J$1&gt;INPUTS!$K$37,1,0))*(INPUTS!$K$45+INPUTS!$K$46)</f>
        <v>420</v>
      </c>
      <c r="K54" s="18">
        <f>(IF(K$1&gt;INPUTS!$K$37,1,0))*(INPUTS!$K$45+INPUTS!$K$46)</f>
        <v>420</v>
      </c>
      <c r="L54" s="18">
        <f>(IF(L$1&gt;INPUTS!$K$37,1,0))*(INPUTS!$K$45+INPUTS!$K$46)</f>
        <v>420</v>
      </c>
      <c r="M54" s="18">
        <f>(IF(M$1&gt;INPUTS!$K$37,1,0))*(INPUTS!$K$45+INPUTS!$K$46)</f>
        <v>420</v>
      </c>
      <c r="N54" s="18">
        <f>(IF(N$1&gt;INPUTS!$K$37,1,0))*(INPUTS!$K$45+INPUTS!$K$46)</f>
        <v>420</v>
      </c>
      <c r="O54" s="18">
        <f>(IF(O$1&gt;INPUTS!$K$37,1,0))*(INPUTS!$K$45+INPUTS!$K$46)</f>
        <v>420</v>
      </c>
      <c r="P54" s="18">
        <f>(IF(P$1&gt;INPUTS!$K$37,1,0))*(INPUTS!$K$45+INPUTS!$K$46)</f>
        <v>420</v>
      </c>
      <c r="Q54" s="18">
        <f>(IF(Q$1&gt;INPUTS!$K$37,1,0))*(INPUTS!$K$45+INPUTS!$K$46)</f>
        <v>420</v>
      </c>
      <c r="R54" s="18">
        <f>(IF(R$1&gt;INPUTS!$K$37,1,0))*(INPUTS!$K$45+INPUTS!$K$46)</f>
        <v>420</v>
      </c>
      <c r="S54" s="18">
        <f>(IF(S$1&gt;INPUTS!$K$37,1,0))*(INPUTS!$K$45+INPUTS!$K$46)</f>
        <v>420</v>
      </c>
      <c r="T54" s="18">
        <f>(IF(T$1&gt;INPUTS!$K$37,1,0))*(INPUTS!$K$45+INPUTS!$K$46)</f>
        <v>420</v>
      </c>
      <c r="U54" s="18">
        <f>(IF(U$1&gt;INPUTS!$K$37,1,0))*(INPUTS!$K$45+INPUTS!$K$46)</f>
        <v>420</v>
      </c>
      <c r="V54" s="18">
        <f>(IF(V$1&gt;INPUTS!$K$37,1,0))*(INPUTS!$K$45+INPUTS!$K$46)</f>
        <v>420</v>
      </c>
      <c r="W54" s="18">
        <f>(IF(W$1&gt;INPUTS!$K$37,1,0))*(INPUTS!$K$45+INPUTS!$K$46)</f>
        <v>420</v>
      </c>
      <c r="X54" s="18">
        <f>(IF(X$1&gt;INPUTS!$K$37,1,0))*(INPUTS!$K$45+INPUTS!$K$46)</f>
        <v>420</v>
      </c>
      <c r="Y54" s="18">
        <f>(IF(Y$1&gt;INPUTS!$K$37,1,0))*(INPUTS!$K$45+INPUTS!$K$46)</f>
        <v>420</v>
      </c>
      <c r="Z54" s="18">
        <f>(IF(Z$1&gt;INPUTS!$K$37,1,0))*(INPUTS!$K$45+INPUTS!$K$46)</f>
        <v>420</v>
      </c>
      <c r="AA54" s="18">
        <f>(IF(AA$1&gt;INPUTS!$K$37,1,0))*(INPUTS!$K$45+INPUTS!$K$46)</f>
        <v>420</v>
      </c>
      <c r="AB54" s="71"/>
    </row>
    <row r="55" spans="1:28" x14ac:dyDescent="0.25">
      <c r="A55" s="10" t="s">
        <v>154</v>
      </c>
      <c r="C55" s="18">
        <f>(IF(C$1&gt;INPUTS!$K$37,1,0))*((INPUTS!$K$31+INPUTS!$K$32)*(INPUTS!$K$47)*INPUTS!$K$6)</f>
        <v>0</v>
      </c>
      <c r="D55" s="18">
        <f>(IF(D$1&gt;INPUTS!$K$37,1,0))*((INPUTS!$K$31+INPUTS!$K$32)*(INPUTS!$K$47)*INPUTS!$K$6)</f>
        <v>0</v>
      </c>
      <c r="E55" s="18">
        <f>(IF(E$1&gt;INPUTS!$K$37,1,0))*((INPUTS!$K$31+INPUTS!$K$32)*(INPUTS!$K$47)*INPUTS!$K$6)</f>
        <v>0</v>
      </c>
      <c r="F55" s="18">
        <f>(IF(F$1&gt;INPUTS!$K$37,1,0))*((INPUTS!$K$31+INPUTS!$K$32)*(INPUTS!$K$47)*INPUTS!$K$6)</f>
        <v>31.5</v>
      </c>
      <c r="G55" s="18">
        <f>(IF(G$1&gt;INPUTS!$K$37,1,0))*((INPUTS!$K$31+INPUTS!$K$32)*(INPUTS!$K$47)*INPUTS!$K$6)</f>
        <v>31.5</v>
      </c>
      <c r="H55" s="18">
        <f>(IF(H$1&gt;INPUTS!$K$37,1,0))*((INPUTS!$K$31+INPUTS!$K$32)*(INPUTS!$K$47)*INPUTS!$K$6)</f>
        <v>31.5</v>
      </c>
      <c r="I55" s="18">
        <f>(IF(I$1&gt;INPUTS!$K$37,1,0))*((INPUTS!$K$31+INPUTS!$K$32)*(INPUTS!$K$47)*INPUTS!$K$6)</f>
        <v>31.5</v>
      </c>
      <c r="J55" s="18">
        <f>(IF(J$1&gt;INPUTS!$K$37,1,0))*((INPUTS!$K$31+INPUTS!$K$32)*(INPUTS!$K$47)*INPUTS!$K$6)</f>
        <v>31.5</v>
      </c>
      <c r="K55" s="18">
        <f>(IF(K$1&gt;INPUTS!$K$37,1,0))*((INPUTS!$K$31+INPUTS!$K$32)*(INPUTS!$K$47)*INPUTS!$K$6)</f>
        <v>31.5</v>
      </c>
      <c r="L55" s="18">
        <f>(IF(L$1&gt;INPUTS!$K$37,1,0))*((INPUTS!$K$31+INPUTS!$K$32)*(INPUTS!$K$47)*INPUTS!$K$6)</f>
        <v>31.5</v>
      </c>
      <c r="M55" s="18">
        <f>(IF(M$1&gt;INPUTS!$K$37,1,0))*((INPUTS!$K$31+INPUTS!$K$32)*(INPUTS!$K$47)*INPUTS!$K$6)</f>
        <v>31.5</v>
      </c>
      <c r="N55" s="18">
        <f>(IF(N$1&gt;INPUTS!$K$37,1,0))*((INPUTS!$K$31+INPUTS!$K$32)*(INPUTS!$K$47)*INPUTS!$K$6)</f>
        <v>31.5</v>
      </c>
      <c r="O55" s="18">
        <f>(IF(O$1&gt;INPUTS!$K$37,1,0))*((INPUTS!$K$31+INPUTS!$K$32)*(INPUTS!$K$47)*INPUTS!$K$6)</f>
        <v>31.5</v>
      </c>
      <c r="P55" s="18">
        <f>(IF(P$1&gt;INPUTS!$K$37,1,0))*((INPUTS!$K$31+INPUTS!$K$32)*(INPUTS!$K$47)*INPUTS!$K$6)</f>
        <v>31.5</v>
      </c>
      <c r="Q55" s="18">
        <f>(IF(Q$1&gt;INPUTS!$K$37,1,0))*((INPUTS!$K$31+INPUTS!$K$32)*(INPUTS!$K$47)*INPUTS!$K$6)</f>
        <v>31.5</v>
      </c>
      <c r="R55" s="18">
        <f>(IF(R$1&gt;INPUTS!$K$37,1,0))*((INPUTS!$K$31+INPUTS!$K$32)*(INPUTS!$K$47)*INPUTS!$K$6)</f>
        <v>31.5</v>
      </c>
      <c r="S55" s="18">
        <f>(IF(S$1&gt;INPUTS!$K$37,1,0))*((INPUTS!$K$31+INPUTS!$K$32)*(INPUTS!$K$47)*INPUTS!$K$6)</f>
        <v>31.5</v>
      </c>
      <c r="T55" s="18">
        <f>(IF(T$1&gt;INPUTS!$K$37,1,0))*((INPUTS!$K$31+INPUTS!$K$32)*(INPUTS!$K$47)*INPUTS!$K$6)</f>
        <v>31.5</v>
      </c>
      <c r="U55" s="18">
        <f>(IF(U$1&gt;INPUTS!$K$37,1,0))*((INPUTS!$K$31+INPUTS!$K$32)*(INPUTS!$K$47)*INPUTS!$K$6)</f>
        <v>31.5</v>
      </c>
      <c r="V55" s="18">
        <f>(IF(V$1&gt;INPUTS!$K$37,1,0))*((INPUTS!$K$31+INPUTS!$K$32)*(INPUTS!$K$47)*INPUTS!$K$6)</f>
        <v>31.5</v>
      </c>
      <c r="W55" s="18">
        <f>(IF(W$1&gt;INPUTS!$K$37,1,0))*((INPUTS!$K$31+INPUTS!$K$32)*(INPUTS!$K$47)*INPUTS!$K$6)</f>
        <v>31.5</v>
      </c>
      <c r="X55" s="18">
        <f>(IF(X$1&gt;INPUTS!$K$37,1,0))*((INPUTS!$K$31+INPUTS!$K$32)*(INPUTS!$K$47)*INPUTS!$K$6)</f>
        <v>31.5</v>
      </c>
      <c r="Y55" s="18">
        <f>(IF(Y$1&gt;INPUTS!$K$37,1,0))*((INPUTS!$K$31+INPUTS!$K$32)*(INPUTS!$K$47)*INPUTS!$K$6)</f>
        <v>31.5</v>
      </c>
      <c r="Z55" s="18">
        <f>(IF(Z$1&gt;INPUTS!$K$37,1,0))*((INPUTS!$K$31+INPUTS!$K$32)*(INPUTS!$K$47)*INPUTS!$K$6)</f>
        <v>31.5</v>
      </c>
      <c r="AA55" s="18">
        <f>(IF(AA$1&gt;INPUTS!$K$37,1,0))*((INPUTS!$K$31+INPUTS!$K$32)*(INPUTS!$K$47)*INPUTS!$K$6)</f>
        <v>31.5</v>
      </c>
    </row>
    <row r="56" spans="1:28" s="11" customFormat="1" x14ac:dyDescent="0.25">
      <c r="A56" s="18" t="s">
        <v>78</v>
      </c>
      <c r="B56" s="18"/>
      <c r="C56" s="11">
        <f>(IF(C$1=INPUTS!$K$39,1,0))*INPUTS!$K$44*INPUTS!$K$6</f>
        <v>0</v>
      </c>
      <c r="D56" s="11">
        <f>(IF(D$1=INPUTS!$K$39,1,0))*INPUTS!$K$44*INPUTS!$K$6*INPUTS!$K$6</f>
        <v>0</v>
      </c>
      <c r="E56" s="11">
        <f>(IF(E$1=INPUTS!$K$39,1,0))*INPUTS!$K$44*INPUTS!$K$6</f>
        <v>0</v>
      </c>
      <c r="F56" s="11">
        <f>(IF(F$1=INPUTS!$K$39,1,0))*INPUTS!$K$44*INPUTS!$K$6</f>
        <v>0</v>
      </c>
      <c r="G56" s="11">
        <f>(IF(G$1=INPUTS!$K$39,1,0))*INPUTS!$K$44*INPUTS!$K$6</f>
        <v>0</v>
      </c>
      <c r="H56" s="11">
        <f>(IF(H$1=INPUTS!$K$39,1,0))*INPUTS!$K$44*INPUTS!$K$6</f>
        <v>0</v>
      </c>
      <c r="I56" s="11">
        <f>(IF(I$1=INPUTS!$K$39,1,0))*INPUTS!$K$44*INPUTS!$K$6</f>
        <v>0</v>
      </c>
      <c r="J56" s="11">
        <f>(IF(J$1=INPUTS!$K$39,1,0))*INPUTS!$K$44*INPUTS!$K$6</f>
        <v>0</v>
      </c>
      <c r="K56" s="11">
        <f>(IF(K$1=INPUTS!$K$39,1,0))*INPUTS!$K$44*INPUTS!$K$6</f>
        <v>0</v>
      </c>
      <c r="L56" s="11">
        <f>(IF(L$1=INPUTS!$K$39,1,0))*INPUTS!$K$44*INPUTS!$K$6</f>
        <v>1750</v>
      </c>
      <c r="M56" s="11">
        <f>(IF(M$1=INPUTS!$K$39,1,0))*INPUTS!$K$44*INPUTS!$K$6</f>
        <v>0</v>
      </c>
      <c r="N56" s="11">
        <f>(IF(N$1=INPUTS!$K$39,1,0))*INPUTS!$K$44*INPUTS!$K$6</f>
        <v>0</v>
      </c>
      <c r="O56" s="11">
        <f>(IF(O$1=INPUTS!$K$39,1,0))*INPUTS!$K$44*INPUTS!$K$6</f>
        <v>0</v>
      </c>
      <c r="P56" s="11">
        <f>(IF(P$1=INPUTS!$K$39,1,0))*INPUTS!$K$44*INPUTS!$K$6</f>
        <v>0</v>
      </c>
      <c r="Q56" s="11">
        <f>(IF(Q$1=INPUTS!$K$39,1,0))*INPUTS!$K$44*INPUTS!$K$6</f>
        <v>0</v>
      </c>
      <c r="R56" s="11">
        <f>(IF(R$1=INPUTS!$K$39,1,0))*INPUTS!$K$44*INPUTS!$K$6</f>
        <v>0</v>
      </c>
      <c r="S56" s="11">
        <f>(IF(S$1=INPUTS!$K$39,1,0))*INPUTS!$K$44*INPUTS!$K$6</f>
        <v>0</v>
      </c>
      <c r="T56" s="11">
        <f>(IF(T$1=INPUTS!$K$39,1,0))*INPUTS!$K$44*INPUTS!$K$6</f>
        <v>0</v>
      </c>
      <c r="U56" s="11">
        <f>(IF(U$1=INPUTS!$K$39,1,0))*INPUTS!$K$44*INPUTS!$K$6</f>
        <v>0</v>
      </c>
      <c r="V56" s="11">
        <f>(IF(V$1=INPUTS!$K$39,1,0))*INPUTS!$K$44*INPUTS!$K$6</f>
        <v>0</v>
      </c>
      <c r="W56" s="11">
        <f>(IF(W$1=INPUTS!$K$39,1,0))*INPUTS!$K$44*INPUTS!$K$6</f>
        <v>0</v>
      </c>
      <c r="X56" s="11">
        <f>(IF(X$1=INPUTS!$K$39,1,0))*INPUTS!$K$44*INPUTS!$K$6</f>
        <v>0</v>
      </c>
      <c r="Y56" s="11">
        <f>(IF(Y$1=INPUTS!$K$39,1,0))*INPUTS!$K$44*INPUTS!$K$6</f>
        <v>0</v>
      </c>
      <c r="Z56" s="11">
        <f>(IF(Z$1=INPUTS!$K$39,1,0))*INPUTS!$K$44*INPUTS!$K$6</f>
        <v>0</v>
      </c>
      <c r="AA56" s="11">
        <f>(IF(AA$1=INPUTS!$K$39,1,0))*INPUTS!$K$44*INPUTS!$K$6</f>
        <v>0</v>
      </c>
      <c r="AB56" s="91">
        <f>SUM(C56:AA58)</f>
        <v>3500</v>
      </c>
    </row>
    <row r="57" spans="1:28" s="11" customFormat="1" x14ac:dyDescent="0.25">
      <c r="A57" s="18" t="s">
        <v>79</v>
      </c>
      <c r="B57" s="18"/>
      <c r="C57" s="11">
        <f>(IF(C$1=INPUTS!$K$40,1,0))*INPUTS!$K$44*INPUTS!$K$6</f>
        <v>0</v>
      </c>
      <c r="D57" s="11">
        <f>(IF(D$1=INPUTS!$K$40,1,0))*INPUTS!$K$44*INPUTS!$K$6</f>
        <v>0</v>
      </c>
      <c r="E57" s="11">
        <f>(IF(E$1=INPUTS!$K$40,1,0))*INPUTS!$K$44*INPUTS!$K$6</f>
        <v>0</v>
      </c>
      <c r="F57" s="11">
        <f>(IF(F$1=INPUTS!$K$40,1,0))*INPUTS!$K$44*INPUTS!$K$6</f>
        <v>0</v>
      </c>
      <c r="G57" s="11">
        <f>(IF(G$1=INPUTS!$K$40,1,0))*INPUTS!$K$44*INPUTS!$K$6</f>
        <v>0</v>
      </c>
      <c r="H57" s="11">
        <f>(IF(H$1=INPUTS!$K$40,1,0))*INPUTS!$K$44*INPUTS!$K$6</f>
        <v>0</v>
      </c>
      <c r="I57" s="11">
        <f>(IF(I$1=INPUTS!$K$40,1,0))*INPUTS!$K$44*INPUTS!$K$6</f>
        <v>0</v>
      </c>
      <c r="J57" s="11">
        <f>(IF(J$1=INPUTS!$K$40,1,0))*INPUTS!$K$44*INPUTS!$K$6</f>
        <v>0</v>
      </c>
      <c r="K57" s="11">
        <f>(IF(K$1=INPUTS!$K$40,1,0))*INPUTS!$K$44*INPUTS!$K$6</f>
        <v>0</v>
      </c>
      <c r="L57" s="11">
        <f>(IF(L$1=INPUTS!$K$40,1,0))*INPUTS!$K$44*INPUTS!$K$6</f>
        <v>0</v>
      </c>
      <c r="M57" s="11">
        <f>(IF(M$1=INPUTS!$K$40,1,0))*INPUTS!$K$44*INPUTS!$K$6</f>
        <v>0</v>
      </c>
      <c r="N57" s="11">
        <f>(IF(N$1=INPUTS!$K$40,1,0))*INPUTS!$K$44*INPUTS!$K$6</f>
        <v>0</v>
      </c>
      <c r="O57" s="11">
        <f>(IF(O$1=INPUTS!$K$40,1,0))*INPUTS!$K$44*INPUTS!$K$6</f>
        <v>0</v>
      </c>
      <c r="P57" s="11">
        <f>(IF(P$1=INPUTS!$K$40,1,0))*INPUTS!$K$44*INPUTS!$K$6</f>
        <v>0</v>
      </c>
      <c r="Q57" s="11">
        <f>(IF(Q$1=INPUTS!$K$40,1,0))*INPUTS!$K$44*INPUTS!$K$6</f>
        <v>0</v>
      </c>
      <c r="R57" s="11">
        <f>(IF(R$1=INPUTS!$K$40,1,0))*INPUTS!$K$44*INPUTS!$K$6</f>
        <v>0</v>
      </c>
      <c r="S57" s="11">
        <f>(IF(S$1=INPUTS!$K$40,1,0))*INPUTS!$K$44*INPUTS!$K$6</f>
        <v>0</v>
      </c>
      <c r="T57" s="11">
        <f>(IF(T$1=INPUTS!$K$40,1,0))*INPUTS!$K$44*INPUTS!$K$6</f>
        <v>0</v>
      </c>
      <c r="U57" s="11">
        <f>(IF(U$1=INPUTS!$K$40,1,0))*INPUTS!$K$44*INPUTS!$K$6</f>
        <v>0</v>
      </c>
      <c r="V57" s="11">
        <f>(IF(V$1=INPUTS!$K$40,1,0))*INPUTS!$K$44*INPUTS!$K$6</f>
        <v>1750</v>
      </c>
      <c r="W57" s="11">
        <f>(IF(W$1=INPUTS!$K$40,1,0))*INPUTS!$K$44*INPUTS!$K$6</f>
        <v>0</v>
      </c>
      <c r="X57" s="11">
        <f>(IF(X$1=INPUTS!$K$40,1,0))*INPUTS!$K$44*INPUTS!$K$6</f>
        <v>0</v>
      </c>
      <c r="Y57" s="11">
        <f>(IF(Y$1=INPUTS!$K$40,1,0))*INPUTS!$K$44*INPUTS!$K$6</f>
        <v>0</v>
      </c>
      <c r="Z57" s="11">
        <f>(IF(Z$1=INPUTS!$K$40,1,0))*INPUTS!$K$44*INPUTS!$K$6</f>
        <v>0</v>
      </c>
      <c r="AA57" s="11">
        <f>(IF(AA$1=INPUTS!$K$40,1,0))*INPUTS!$K$44*INPUTS!$K$6</f>
        <v>0</v>
      </c>
      <c r="AB57" s="91"/>
    </row>
    <row r="58" spans="1:28" s="11" customFormat="1" x14ac:dyDescent="0.25">
      <c r="A58" s="18" t="s">
        <v>80</v>
      </c>
      <c r="B58" s="18"/>
      <c r="C58" s="11">
        <f>(IF(C$1=INPUTS!$K$41,1,0))*INPUTS!$K$44*INPUTS!K$6</f>
        <v>0</v>
      </c>
      <c r="D58" s="11">
        <f>(IF(D$1=INPUTS!$K$41,1,0))*INPUTS!$K$44*INPUTS!$K$6</f>
        <v>0</v>
      </c>
      <c r="E58" s="11">
        <f>(IF(E$1=INPUTS!$K$41,1,0))*INPUTS!$K$44*INPUTS!$K$6</f>
        <v>0</v>
      </c>
      <c r="F58" s="11">
        <f>(IF(F$1=INPUTS!$K$41,1,0))*INPUTS!$K$44*INPUTS!$K$6</f>
        <v>0</v>
      </c>
      <c r="G58" s="11">
        <f>(IF(G$1=INPUTS!$K$41,1,0))*INPUTS!$K$44*INPUTS!$K$6</f>
        <v>0</v>
      </c>
      <c r="H58" s="11">
        <f>(IF(H$1=INPUTS!$K$41,1,0))*INPUTS!$K$44*INPUTS!$K$6</f>
        <v>0</v>
      </c>
      <c r="I58" s="11">
        <f>(IF(I$1=INPUTS!$K$41,1,0))*INPUTS!$K$44*INPUTS!$K$6</f>
        <v>0</v>
      </c>
      <c r="J58" s="11">
        <f>(IF(J$1=INPUTS!$K$41,1,0))*INPUTS!$K$44*INPUTS!$K$6</f>
        <v>0</v>
      </c>
      <c r="K58" s="11">
        <f>(IF(K$1=INPUTS!$K$41,1,0))*INPUTS!$K$44*INPUTS!$K$6</f>
        <v>0</v>
      </c>
      <c r="L58" s="11">
        <f>(IF(L$1=INPUTS!$K$41,1,0))*INPUTS!$K$44*INPUTS!$K$6</f>
        <v>0</v>
      </c>
      <c r="M58" s="11">
        <f>(IF(M$1=INPUTS!$K$41,1,0))*INPUTS!$K$44*INPUTS!$K$6</f>
        <v>0</v>
      </c>
      <c r="N58" s="11">
        <f>(IF(N$1=INPUTS!$K$41,1,0))*INPUTS!$K$44*INPUTS!$K$6</f>
        <v>0</v>
      </c>
      <c r="O58" s="11">
        <f>(IF(O$1=INPUTS!$K$41,1,0))*INPUTS!$K$44*INPUTS!$K$6</f>
        <v>0</v>
      </c>
      <c r="P58" s="11">
        <f>(IF(P$1=INPUTS!$K$41,1,0))*INPUTS!$K$44*INPUTS!$K$6</f>
        <v>0</v>
      </c>
      <c r="Q58" s="11">
        <f>(IF(Q$1=INPUTS!$K$41,1,0))*INPUTS!$K$44*INPUTS!$K$6</f>
        <v>0</v>
      </c>
      <c r="R58" s="11">
        <f>(IF(R$1=INPUTS!$K$41,1,0))*INPUTS!$K$44*INPUTS!$K$6</f>
        <v>0</v>
      </c>
      <c r="S58" s="11">
        <f>(IF(S$1=INPUTS!$K$41,1,0))*INPUTS!$K$44*INPUTS!$K$6</f>
        <v>0</v>
      </c>
      <c r="T58" s="11">
        <f>(IF(T$1=INPUTS!$K$41,1,0))*INPUTS!$K$44*INPUTS!$K$6</f>
        <v>0</v>
      </c>
      <c r="U58" s="11">
        <f>(IF(U$1=INPUTS!$K$41,1,0))*INPUTS!$K$44*INPUTS!$K$6</f>
        <v>0</v>
      </c>
      <c r="V58" s="11">
        <f>(IF(V$1=INPUTS!$K$41,1,0))*INPUTS!$K$44*INPUTS!$K$6</f>
        <v>0</v>
      </c>
      <c r="W58" s="11">
        <f>(IF(W$1=INPUTS!$K$41,1,0))*INPUTS!$K$44*INPUTS!$K$6</f>
        <v>0</v>
      </c>
      <c r="X58" s="11">
        <f>(IF(X$1=INPUTS!$K$41,1,0))*INPUTS!$K$44*INPUTS!$K$6</f>
        <v>0</v>
      </c>
      <c r="Y58" s="11">
        <f>(IF(Y$1=INPUTS!$K$41,1,0))*INPUTS!$K$44*INPUTS!$K$6</f>
        <v>0</v>
      </c>
      <c r="Z58" s="11">
        <f>(IF(Z$1=INPUTS!$K$41,1,0))*INPUTS!$K$44*INPUTS!$K$6</f>
        <v>0</v>
      </c>
      <c r="AA58" s="11">
        <f>(IF(AA$1=INPUTS!$K$41,1,0))*INPUTS!$K$44*INPUTS!$K$6</f>
        <v>0</v>
      </c>
      <c r="AB58" s="91"/>
    </row>
    <row r="59" spans="1:28" s="1" customFormat="1" ht="15.75" customHeight="1" x14ac:dyDescent="0.25">
      <c r="A59" s="1" t="s">
        <v>87</v>
      </c>
      <c r="B59" s="17"/>
      <c r="C59" s="25">
        <f t="shared" ref="C59:AA59" si="8">SUM(C53:C58)</f>
        <v>0</v>
      </c>
      <c r="D59" s="25">
        <f t="shared" si="8"/>
        <v>0</v>
      </c>
      <c r="E59" s="25">
        <f t="shared" si="8"/>
        <v>0</v>
      </c>
      <c r="F59" s="25">
        <f t="shared" si="8"/>
        <v>451.5</v>
      </c>
      <c r="G59" s="25">
        <f t="shared" si="8"/>
        <v>451.5</v>
      </c>
      <c r="H59" s="25">
        <f t="shared" si="8"/>
        <v>451.5</v>
      </c>
      <c r="I59" s="25">
        <f t="shared" si="8"/>
        <v>451.5</v>
      </c>
      <c r="J59" s="25">
        <f t="shared" si="8"/>
        <v>451.5</v>
      </c>
      <c r="K59" s="25">
        <f t="shared" si="8"/>
        <v>451.5</v>
      </c>
      <c r="L59" s="25">
        <f t="shared" si="8"/>
        <v>2201.5</v>
      </c>
      <c r="M59" s="25">
        <f t="shared" si="8"/>
        <v>451.5</v>
      </c>
      <c r="N59" s="25">
        <f t="shared" si="8"/>
        <v>451.5</v>
      </c>
      <c r="O59" s="25">
        <f t="shared" si="8"/>
        <v>451.5</v>
      </c>
      <c r="P59" s="25">
        <f t="shared" si="8"/>
        <v>451.5</v>
      </c>
      <c r="Q59" s="25">
        <f t="shared" si="8"/>
        <v>451.5</v>
      </c>
      <c r="R59" s="25">
        <f t="shared" si="8"/>
        <v>451.5</v>
      </c>
      <c r="S59" s="25">
        <f t="shared" si="8"/>
        <v>451.5</v>
      </c>
      <c r="T59" s="25">
        <f t="shared" si="8"/>
        <v>451.5</v>
      </c>
      <c r="U59" s="25">
        <f t="shared" si="8"/>
        <v>451.5</v>
      </c>
      <c r="V59" s="25">
        <f t="shared" si="8"/>
        <v>2201.5</v>
      </c>
      <c r="W59" s="25">
        <f t="shared" si="8"/>
        <v>451.5</v>
      </c>
      <c r="X59" s="25">
        <f t="shared" si="8"/>
        <v>451.5</v>
      </c>
      <c r="Y59" s="25">
        <f t="shared" si="8"/>
        <v>451.5</v>
      </c>
      <c r="Z59" s="25">
        <f t="shared" si="8"/>
        <v>451.5</v>
      </c>
      <c r="AA59" s="25">
        <f t="shared" si="8"/>
        <v>451.5</v>
      </c>
      <c r="AB59" s="70"/>
    </row>
    <row r="60" spans="1:28" s="1" customFormat="1" ht="15.75" customHeight="1" x14ac:dyDescent="0.25">
      <c r="B60" s="1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70"/>
    </row>
    <row r="61" spans="1:28" x14ac:dyDescent="0.25">
      <c r="A61" s="17" t="s">
        <v>111</v>
      </c>
      <c r="B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8" x14ac:dyDescent="0.25">
      <c r="A62" s="11" t="s">
        <v>114</v>
      </c>
      <c r="C62" s="2">
        <f>INPUTS!K9</f>
        <v>10</v>
      </c>
      <c r="D62" s="2">
        <f>C62+(C62*INPUTS!$K$10)</f>
        <v>10</v>
      </c>
      <c r="E62" s="2">
        <f>D62+(D62*INPUTS!$K$10)</f>
        <v>10</v>
      </c>
      <c r="F62" s="2">
        <f>E62+(E62*INPUTS!$K$10)</f>
        <v>10</v>
      </c>
      <c r="G62" s="2">
        <f>F62+(F62*INPUTS!$K$10)</f>
        <v>10</v>
      </c>
      <c r="H62" s="2">
        <f>G62+(G62*INPUTS!$K$10)</f>
        <v>10</v>
      </c>
      <c r="I62" s="2">
        <f>H62+(H62*INPUTS!$K$10)</f>
        <v>10</v>
      </c>
      <c r="J62" s="2">
        <f>I62+(I62*INPUTS!$K$10)</f>
        <v>10</v>
      </c>
      <c r="K62" s="2">
        <f>J62+(J62*INPUTS!$K$10)</f>
        <v>10</v>
      </c>
      <c r="L62" s="2">
        <f>K62+(K62*INPUTS!$K$10)</f>
        <v>10</v>
      </c>
      <c r="M62" s="2">
        <f>L62+(L62*INPUTS!$K$10)</f>
        <v>10</v>
      </c>
      <c r="N62" s="2">
        <f>M62+(M62*INPUTS!$K$10)</f>
        <v>10</v>
      </c>
      <c r="O62" s="2">
        <f>N62+(N62*INPUTS!$K$10)</f>
        <v>10</v>
      </c>
      <c r="P62" s="2">
        <f>O62+(O62*INPUTS!$K$10)</f>
        <v>10</v>
      </c>
      <c r="Q62" s="2">
        <f>P62+(P62*INPUTS!$K$10)</f>
        <v>10</v>
      </c>
      <c r="R62" s="2">
        <f>Q62+(Q62*INPUTS!$K$10)</f>
        <v>10</v>
      </c>
      <c r="S62" s="2">
        <f>R62+(R62*INPUTS!$K$10)</f>
        <v>10</v>
      </c>
      <c r="T62" s="2">
        <f>S62+(S62*INPUTS!$K$10)</f>
        <v>10</v>
      </c>
      <c r="U62" s="2">
        <f>T62+(T62*INPUTS!$K$10)</f>
        <v>10</v>
      </c>
      <c r="V62" s="2">
        <f>U62+(U62*INPUTS!$K$10)</f>
        <v>10</v>
      </c>
      <c r="W62" s="2">
        <f>V62+(V62*INPUTS!$K$10)</f>
        <v>10</v>
      </c>
      <c r="X62" s="2">
        <f>W62+(W62*INPUTS!$K$10)</f>
        <v>10</v>
      </c>
      <c r="Y62" s="2">
        <f>X62+(X62*INPUTS!$K$10)</f>
        <v>10</v>
      </c>
      <c r="Z62" s="2">
        <f>Y62+(Y62*INPUTS!$K$10)</f>
        <v>10</v>
      </c>
      <c r="AA62" s="2">
        <f>Z62+(Z62*INPUTS!$K$10)</f>
        <v>10</v>
      </c>
    </row>
    <row r="63" spans="1:28" x14ac:dyDescent="0.25">
      <c r="A63" s="11" t="s">
        <v>96</v>
      </c>
      <c r="C63" s="11">
        <f>C62*INPUTS!$C$25</f>
        <v>0</v>
      </c>
      <c r="D63" s="11">
        <f>D62*INPUTS!$C$25</f>
        <v>0</v>
      </c>
      <c r="E63" s="11">
        <f>E62*INPUTS!$C$25</f>
        <v>0</v>
      </c>
      <c r="F63" s="11">
        <f>F62*INPUTS!$C$25</f>
        <v>0</v>
      </c>
      <c r="G63" s="11">
        <f>G62*INPUTS!$C$25</f>
        <v>0</v>
      </c>
      <c r="H63" s="11">
        <f>H62*INPUTS!$C$25</f>
        <v>0</v>
      </c>
      <c r="I63" s="11">
        <f>I62*INPUTS!$C$25</f>
        <v>0</v>
      </c>
      <c r="J63" s="11">
        <f>J62*INPUTS!$C$25</f>
        <v>0</v>
      </c>
      <c r="K63" s="11">
        <f>K62*INPUTS!$C$25</f>
        <v>0</v>
      </c>
      <c r="L63" s="11">
        <f>L62*INPUTS!$C$25</f>
        <v>0</v>
      </c>
      <c r="M63" s="11">
        <f>M62*INPUTS!$C$25</f>
        <v>0</v>
      </c>
      <c r="N63" s="11">
        <f>N62*INPUTS!$C$25</f>
        <v>0</v>
      </c>
      <c r="O63" s="11">
        <f>O62*INPUTS!$C$25</f>
        <v>0</v>
      </c>
      <c r="P63" s="11">
        <f>P62*INPUTS!$C$25</f>
        <v>0</v>
      </c>
      <c r="Q63" s="11">
        <f>Q62*INPUTS!$C$25</f>
        <v>0</v>
      </c>
      <c r="R63" s="11">
        <f>R62*INPUTS!$C$25</f>
        <v>0</v>
      </c>
      <c r="S63" s="11">
        <f>S62*INPUTS!$C$25</f>
        <v>0</v>
      </c>
      <c r="T63" s="11">
        <f>T62*INPUTS!$C$25</f>
        <v>0</v>
      </c>
      <c r="U63" s="11">
        <f>U62*INPUTS!$C$25</f>
        <v>0</v>
      </c>
      <c r="V63" s="11">
        <f>V62*INPUTS!$C$25</f>
        <v>0</v>
      </c>
      <c r="W63" s="11">
        <f>W62*INPUTS!$C$25</f>
        <v>0</v>
      </c>
      <c r="X63" s="11">
        <f>X62*INPUTS!$C$25</f>
        <v>0</v>
      </c>
      <c r="Y63" s="11">
        <f>Y62*INPUTS!$C$25</f>
        <v>0</v>
      </c>
      <c r="Z63" s="11">
        <f>Z62*INPUTS!$C$25</f>
        <v>0</v>
      </c>
      <c r="AA63" s="11">
        <f>AA62*INPUTS!$C$25</f>
        <v>0</v>
      </c>
    </row>
    <row r="64" spans="1:28" x14ac:dyDescent="0.25">
      <c r="A64" s="11" t="s">
        <v>100</v>
      </c>
      <c r="C64" s="21">
        <f>(C27-(C27*INPUTS!$C$26))*INPUTS!$C$27/12</f>
        <v>0</v>
      </c>
      <c r="D64" s="21">
        <f>(D27-(D27*INPUTS!$C$26))*INPUTS!$C$27/12</f>
        <v>0</v>
      </c>
      <c r="E64" s="21">
        <f>(E27-(E27*INPUTS!$C$26))*INPUTS!$C$27/12</f>
        <v>0</v>
      </c>
      <c r="F64" s="21">
        <f>(F27-(F27*INPUTS!$C$26))*INPUTS!$C$27/12</f>
        <v>0</v>
      </c>
      <c r="G64" s="21">
        <f>(G27-(G27*INPUTS!$C$26))*INPUTS!$C$27/12</f>
        <v>0</v>
      </c>
      <c r="H64" s="21">
        <f>(H27-(H27*INPUTS!$C$26))*INPUTS!$C$27/12</f>
        <v>0</v>
      </c>
      <c r="I64" s="21">
        <f>(I27-(I27*INPUTS!$C$26))*INPUTS!$C$27/12</f>
        <v>0</v>
      </c>
      <c r="J64" s="21">
        <f>(J27-(J27*INPUTS!$C$26))*INPUTS!$C$27/12</f>
        <v>0</v>
      </c>
      <c r="K64" s="21">
        <f>(K27-(K27*INPUTS!$C$26))*INPUTS!$C$27/12</f>
        <v>0</v>
      </c>
      <c r="L64" s="21">
        <f>(L27-(L27*INPUTS!$C$26))*INPUTS!$C$27/12</f>
        <v>0</v>
      </c>
      <c r="M64" s="21">
        <f>(M27-(M27*INPUTS!$C$26))*INPUTS!$C$27/12</f>
        <v>0</v>
      </c>
      <c r="N64" s="21">
        <f>(N27-(N27*INPUTS!$C$26))*INPUTS!$C$27/12</f>
        <v>0</v>
      </c>
      <c r="O64" s="21">
        <f>(O27-(O27*INPUTS!$C$26))*INPUTS!$C$27/12</f>
        <v>0</v>
      </c>
      <c r="P64" s="21">
        <f>(P27-(P27*INPUTS!$C$26))*INPUTS!$C$27/12</f>
        <v>0</v>
      </c>
      <c r="Q64" s="21">
        <f>(Q27-(Q27*INPUTS!$C$26))*INPUTS!$C$27/12</f>
        <v>0</v>
      </c>
      <c r="R64" s="21">
        <f>(R27-(R27*INPUTS!$C$26))*INPUTS!$C$27/12</f>
        <v>0</v>
      </c>
      <c r="S64" s="21">
        <f>(S27-(S27*INPUTS!$C$26))*INPUTS!$C$27/12</f>
        <v>0</v>
      </c>
      <c r="T64" s="21">
        <f>(T27-(T27*INPUTS!$C$26))*INPUTS!$C$27/12</f>
        <v>0</v>
      </c>
      <c r="U64" s="21">
        <f>(U27-(U27*INPUTS!$C$26))*INPUTS!$C$27/12</f>
        <v>0</v>
      </c>
      <c r="V64" s="21">
        <f>(V27-(V27*INPUTS!$C$26))*INPUTS!$C$27/12</f>
        <v>0</v>
      </c>
      <c r="W64" s="21">
        <f>(W27-(W27*INPUTS!$C$26))*INPUTS!$C$27/12</f>
        <v>0</v>
      </c>
      <c r="X64" s="21">
        <f>(X27-(X27*INPUTS!$C$26))*INPUTS!$C$27/12</f>
        <v>0</v>
      </c>
      <c r="Y64" s="21">
        <f>(Y27-(Y27*INPUTS!$C$26))*INPUTS!$C$27/12</f>
        <v>0</v>
      </c>
      <c r="Z64" s="21">
        <f>(Z27-(Z27*INPUTS!$C$26))*INPUTS!$C$27/12</f>
        <v>0</v>
      </c>
      <c r="AA64" s="21">
        <f>(AA27-(AA27*INPUTS!$C$26))*INPUTS!$C$27/12</f>
        <v>0</v>
      </c>
    </row>
    <row r="65" spans="1:29" x14ac:dyDescent="0.25">
      <c r="A65" s="11" t="s">
        <v>101</v>
      </c>
      <c r="C65" s="21">
        <f>(C28-(C28*INPUTS!$C$26))*INPUTS!$C$27/12</f>
        <v>0</v>
      </c>
      <c r="D65" s="21">
        <f>(D28-(D28*INPUTS!$C$26))*INPUTS!$C$27/12</f>
        <v>0</v>
      </c>
      <c r="E65" s="21">
        <f>(E28-(E28*INPUTS!$C$26))*INPUTS!$C$27/12</f>
        <v>0</v>
      </c>
      <c r="F65" s="21">
        <f>(F28-(F28*INPUTS!$C$26))*INPUTS!$C$27/12</f>
        <v>0</v>
      </c>
      <c r="G65" s="21">
        <f>(G28-(G28*INPUTS!$C$26))*INPUTS!$C$27/12</f>
        <v>0</v>
      </c>
      <c r="H65" s="21">
        <f>(H28-(H28*INPUTS!$C$26))*INPUTS!$C$27/12</f>
        <v>0</v>
      </c>
      <c r="I65" s="21">
        <f>(I28-(I28*INPUTS!$C$26))*INPUTS!$C$27/12</f>
        <v>0</v>
      </c>
      <c r="J65" s="21">
        <f>(J28-(J28*INPUTS!$C$26))*INPUTS!$C$27/12</f>
        <v>0</v>
      </c>
      <c r="K65" s="21">
        <f>(K28-(K28*INPUTS!$C$26))*INPUTS!$C$27/12</f>
        <v>0</v>
      </c>
      <c r="L65" s="21">
        <f>(L28-(L28*INPUTS!$C$26))*INPUTS!$C$27/12</f>
        <v>0</v>
      </c>
      <c r="M65" s="21">
        <f>(M28-(M28*INPUTS!$C$26))*INPUTS!$C$27/12</f>
        <v>0</v>
      </c>
      <c r="N65" s="21">
        <f>(N28-(N28*INPUTS!$C$26))*INPUTS!$C$27/12</f>
        <v>0</v>
      </c>
      <c r="O65" s="21">
        <f>(O28-(O28*INPUTS!$C$26))*INPUTS!$C$27/12</f>
        <v>0</v>
      </c>
      <c r="P65" s="21">
        <f>(P28-(P28*INPUTS!$C$26))*INPUTS!$C$27/12</f>
        <v>0</v>
      </c>
      <c r="Q65" s="21">
        <f>(Q28-(Q28*INPUTS!$C$26))*INPUTS!$C$27/12</f>
        <v>0</v>
      </c>
      <c r="R65" s="21">
        <f>(R28-(R28*INPUTS!$C$26))*INPUTS!$C$27/12</f>
        <v>0</v>
      </c>
      <c r="S65" s="21">
        <f>(S28-(S28*INPUTS!$C$26))*INPUTS!$C$27/12</f>
        <v>0</v>
      </c>
      <c r="T65" s="21">
        <f>(T28-(T28*INPUTS!$C$26))*INPUTS!$C$27/12</f>
        <v>0</v>
      </c>
      <c r="U65" s="21">
        <f>(U28-(U28*INPUTS!$C$26))*INPUTS!$C$27/12</f>
        <v>0</v>
      </c>
      <c r="V65" s="21">
        <f>(V28-(V28*INPUTS!$C$26))*INPUTS!$C$27/12</f>
        <v>0</v>
      </c>
      <c r="W65" s="21">
        <f>(W28-(W28*INPUTS!$C$26))*INPUTS!$C$27/12</f>
        <v>0</v>
      </c>
      <c r="X65" s="21">
        <f>(X28-(X28*INPUTS!$C$26))*INPUTS!$C$27/12</f>
        <v>0</v>
      </c>
      <c r="Y65" s="21">
        <f>(Y28-(Y28*INPUTS!$C$26))*INPUTS!$C$27/12</f>
        <v>0</v>
      </c>
      <c r="Z65" s="21">
        <f>(Z28-(Z28*INPUTS!$C$26))*INPUTS!$C$27/12</f>
        <v>0</v>
      </c>
      <c r="AA65" s="21">
        <f>(AA28-(AA28*INPUTS!$C$26))*INPUTS!$C$27/12</f>
        <v>0</v>
      </c>
    </row>
    <row r="66" spans="1:29" s="1" customFormat="1" x14ac:dyDescent="0.25">
      <c r="A66" s="17" t="s">
        <v>102</v>
      </c>
      <c r="B66" s="17"/>
      <c r="C66" s="25">
        <f t="shared" ref="C66:AA66" si="9">SUM(C63:C65)</f>
        <v>0</v>
      </c>
      <c r="D66" s="25">
        <f t="shared" si="9"/>
        <v>0</v>
      </c>
      <c r="E66" s="25">
        <f t="shared" si="9"/>
        <v>0</v>
      </c>
      <c r="F66" s="25">
        <f t="shared" si="9"/>
        <v>0</v>
      </c>
      <c r="G66" s="25">
        <f t="shared" si="9"/>
        <v>0</v>
      </c>
      <c r="H66" s="25">
        <f t="shared" si="9"/>
        <v>0</v>
      </c>
      <c r="I66" s="25">
        <f t="shared" si="9"/>
        <v>0</v>
      </c>
      <c r="J66" s="25">
        <f t="shared" si="9"/>
        <v>0</v>
      </c>
      <c r="K66" s="25">
        <f t="shared" si="9"/>
        <v>0</v>
      </c>
      <c r="L66" s="25">
        <f t="shared" si="9"/>
        <v>0</v>
      </c>
      <c r="M66" s="25">
        <f t="shared" si="9"/>
        <v>0</v>
      </c>
      <c r="N66" s="25">
        <f t="shared" si="9"/>
        <v>0</v>
      </c>
      <c r="O66" s="25">
        <f t="shared" si="9"/>
        <v>0</v>
      </c>
      <c r="P66" s="25">
        <f t="shared" si="9"/>
        <v>0</v>
      </c>
      <c r="Q66" s="25">
        <f t="shared" si="9"/>
        <v>0</v>
      </c>
      <c r="R66" s="25">
        <f t="shared" si="9"/>
        <v>0</v>
      </c>
      <c r="S66" s="25">
        <f t="shared" si="9"/>
        <v>0</v>
      </c>
      <c r="T66" s="25">
        <f t="shared" si="9"/>
        <v>0</v>
      </c>
      <c r="U66" s="25">
        <f t="shared" si="9"/>
        <v>0</v>
      </c>
      <c r="V66" s="25">
        <f t="shared" si="9"/>
        <v>0</v>
      </c>
      <c r="W66" s="25">
        <f t="shared" si="9"/>
        <v>0</v>
      </c>
      <c r="X66" s="25">
        <f t="shared" si="9"/>
        <v>0</v>
      </c>
      <c r="Y66" s="25">
        <f t="shared" si="9"/>
        <v>0</v>
      </c>
      <c r="Z66" s="25">
        <f t="shared" si="9"/>
        <v>0</v>
      </c>
      <c r="AA66" s="25">
        <f t="shared" si="9"/>
        <v>0</v>
      </c>
      <c r="AB66" s="70"/>
    </row>
    <row r="68" spans="1:29" x14ac:dyDescent="0.25">
      <c r="A68" s="10" t="s">
        <v>145</v>
      </c>
      <c r="C68" s="21">
        <f>INPUTS!C21*INPUTS!C22</f>
        <v>1000</v>
      </c>
      <c r="D68" s="21">
        <f>C68+(C68*INPUTS!$G$38)</f>
        <v>1025</v>
      </c>
      <c r="E68" s="21">
        <f>D68+(D68*INPUTS!$G$38)</f>
        <v>1050.625</v>
      </c>
      <c r="F68" s="21">
        <f>E68+(E68*INPUTS!$G$38)</f>
        <v>1076.890625</v>
      </c>
      <c r="G68" s="21">
        <f>F68+(F68*INPUTS!$G$38)</f>
        <v>1103.8128906249999</v>
      </c>
      <c r="H68" s="21">
        <f>G68+(G68*INPUTS!$G$38)</f>
        <v>1131.408212890625</v>
      </c>
      <c r="I68" s="21">
        <f>H68+(H68*INPUTS!$G$38)</f>
        <v>1159.6934182128907</v>
      </c>
      <c r="J68" s="21">
        <f>I68+(I68*INPUTS!$G$38)</f>
        <v>1188.685753668213</v>
      </c>
      <c r="K68" s="21">
        <f>J68+(J68*INPUTS!$G$38)</f>
        <v>1218.4028975099184</v>
      </c>
      <c r="L68" s="21">
        <f>K68+(K68*INPUTS!$G$38)</f>
        <v>1248.8629699476664</v>
      </c>
      <c r="M68" s="21">
        <f>L68+(L68*INPUTS!$G$38)</f>
        <v>1280.0845441963581</v>
      </c>
      <c r="N68" s="21">
        <f>M68+(M68*INPUTS!$G$38)</f>
        <v>1312.0866578012672</v>
      </c>
      <c r="O68" s="21">
        <f>N68+(N68*INPUTS!$G$38)</f>
        <v>1344.8888242462988</v>
      </c>
      <c r="P68" s="21">
        <f>O68+(O68*INPUTS!$G$38)</f>
        <v>1378.5110448524563</v>
      </c>
      <c r="Q68" s="21">
        <f>P68+(P68*INPUTS!$G$38)</f>
        <v>1412.9738209737677</v>
      </c>
      <c r="R68" s="21">
        <f>Q68+(Q68*INPUTS!$G$38)</f>
        <v>1448.2981664981119</v>
      </c>
      <c r="S68" s="21">
        <f>R68+(R68*INPUTS!$G$38)</f>
        <v>1484.5056206605648</v>
      </c>
      <c r="T68" s="21">
        <f>S68+(S68*INPUTS!$G$38)</f>
        <v>1521.6182611770789</v>
      </c>
      <c r="U68" s="21">
        <f>T68+(T68*INPUTS!$G$38)</f>
        <v>1559.658717706506</v>
      </c>
      <c r="V68" s="21">
        <f>U68+(U68*INPUTS!$G$38)</f>
        <v>1598.6501856491686</v>
      </c>
      <c r="W68" s="21">
        <f>V68+(V68*INPUTS!$G$38)</f>
        <v>1638.6164402903978</v>
      </c>
      <c r="X68" s="21">
        <f>W68+(W68*INPUTS!$G$38)</f>
        <v>1679.5818512976577</v>
      </c>
      <c r="Y68" s="21">
        <f>X68+(X68*INPUTS!$G$38)</f>
        <v>1721.5713975800993</v>
      </c>
      <c r="Z68" s="21">
        <f>Y68+(Y68*INPUTS!$G$38)</f>
        <v>1764.6106825196018</v>
      </c>
      <c r="AA68" s="21">
        <f>Z68+(Z68*INPUTS!$G$38)</f>
        <v>1808.725949582592</v>
      </c>
    </row>
    <row r="70" spans="1:29" s="30" customFormat="1" ht="30" x14ac:dyDescent="0.25">
      <c r="A70" s="46" t="s">
        <v>157</v>
      </c>
      <c r="B70" s="32">
        <v>0</v>
      </c>
      <c r="C70" s="31">
        <f>IF(C1&gt;INPUTS!$G$37,INPUTS!$G$34,0)</f>
        <v>0</v>
      </c>
      <c r="D70" s="31">
        <f>IF(D1&gt;INPUTS!$G$37,INPUTS!$G$34,0)</f>
        <v>0</v>
      </c>
      <c r="E70" s="31">
        <f>IF(E1&gt;INPUTS!$G$37,INPUTS!$G$34,0)</f>
        <v>3.5000000000000003E-2</v>
      </c>
      <c r="F70" s="31">
        <f>IF(F1&gt;INPUTS!$G$37,INPUTS!$G$34,0)</f>
        <v>3.5000000000000003E-2</v>
      </c>
      <c r="G70" s="31">
        <f>IF(G1&gt;INPUTS!$G$37,INPUTS!$G$34,0)</f>
        <v>3.5000000000000003E-2</v>
      </c>
      <c r="H70" s="31">
        <f>IF(H1&gt;INPUTS!$G$37,INPUTS!$G$34,0)</f>
        <v>3.5000000000000003E-2</v>
      </c>
      <c r="I70" s="31">
        <f>IF(I1&gt;INPUTS!$G$37,INPUTS!$G$34,0)</f>
        <v>3.5000000000000003E-2</v>
      </c>
      <c r="J70" s="31">
        <f>IF(J1&gt;INPUTS!$G$37,INPUTS!$G$34,0)</f>
        <v>3.5000000000000003E-2</v>
      </c>
      <c r="K70" s="31">
        <f>IF(K1&gt;INPUTS!$G$37,INPUTS!$G$34,0)</f>
        <v>3.5000000000000003E-2</v>
      </c>
      <c r="L70" s="31">
        <f>IF(L1&gt;INPUTS!$G$37,INPUTS!$G$34,0)</f>
        <v>3.5000000000000003E-2</v>
      </c>
      <c r="M70" s="31">
        <f>IF(M1&gt;INPUTS!$G$37,INPUTS!$G$34,0)</f>
        <v>3.5000000000000003E-2</v>
      </c>
      <c r="N70" s="31">
        <f>IF(N1&gt;INPUTS!$G$37,INPUTS!$G$34,0)</f>
        <v>3.5000000000000003E-2</v>
      </c>
      <c r="O70" s="31">
        <f>IF(O1&gt;INPUTS!$G$37,INPUTS!$G$34,0)</f>
        <v>3.5000000000000003E-2</v>
      </c>
      <c r="P70" s="31">
        <f>IF(P1&gt;INPUTS!$G$37,INPUTS!$G$34,0)</f>
        <v>3.5000000000000003E-2</v>
      </c>
      <c r="Q70" s="31">
        <f>IF(Q1&gt;INPUTS!$G$37,INPUTS!$G$34,0)</f>
        <v>3.5000000000000003E-2</v>
      </c>
      <c r="R70" s="31">
        <f>IF(R1&gt;INPUTS!$G$37,INPUTS!$G$34,0)</f>
        <v>3.5000000000000003E-2</v>
      </c>
      <c r="S70" s="31">
        <f>IF(S1&gt;INPUTS!$G$37,INPUTS!$G$34,0)</f>
        <v>3.5000000000000003E-2</v>
      </c>
      <c r="T70" s="31">
        <f>IF(T1&gt;INPUTS!$G$37,INPUTS!$G$34,0)</f>
        <v>3.5000000000000003E-2</v>
      </c>
      <c r="U70" s="31">
        <f>IF(U1&gt;INPUTS!$G$37,INPUTS!$G$34,0)</f>
        <v>3.5000000000000003E-2</v>
      </c>
      <c r="V70" s="31">
        <f>IF(V1&gt;INPUTS!$G$37,INPUTS!$G$34,0)</f>
        <v>3.5000000000000003E-2</v>
      </c>
      <c r="W70" s="31">
        <f>IF(W1&gt;INPUTS!$G$37,INPUTS!$G$34,0)</f>
        <v>3.5000000000000003E-2</v>
      </c>
      <c r="X70" s="31">
        <f>IF(X1&gt;INPUTS!$G$37,INPUTS!$G$34,0)</f>
        <v>3.5000000000000003E-2</v>
      </c>
      <c r="Y70" s="31">
        <f>IF(Y1&gt;INPUTS!$G$37,INPUTS!$G$34,0)</f>
        <v>3.5000000000000003E-2</v>
      </c>
      <c r="Z70" s="31">
        <f>IF(Z1&gt;INPUTS!$G$37,INPUTS!$G$34,0)</f>
        <v>3.5000000000000003E-2</v>
      </c>
      <c r="AA70" s="31">
        <f>IF(AA1&gt;INPUTS!$G$37,INPUTS!$G$34,0)</f>
        <v>3.5000000000000003E-2</v>
      </c>
      <c r="AB70" s="72"/>
    </row>
    <row r="71" spans="1:29" x14ac:dyDescent="0.25">
      <c r="A71" s="37" t="s">
        <v>220</v>
      </c>
      <c r="B71" s="37"/>
      <c r="C71" s="11">
        <v>0</v>
      </c>
      <c r="D71" s="21">
        <f>IF(C$1&lt;INPUTS!$G$36,0,1)*($B$92-C72)*C70</f>
        <v>0</v>
      </c>
      <c r="E71" s="21">
        <f>IF(D$1&lt;INPUTS!$G$36,0,1)*($B$92-D72)*D70</f>
        <v>0</v>
      </c>
      <c r="F71" s="21">
        <f>IF(E$1&lt;INPUTS!$G$36,0,1)*($B$92-E72)*E70</f>
        <v>2877.84</v>
      </c>
      <c r="G71" s="21">
        <f>IF(F$1&lt;INPUTS!$G$36,0,1)*($B$92-F72)*F70</f>
        <v>2757.9300000000003</v>
      </c>
      <c r="H71" s="21">
        <f>IF(G$1&lt;INPUTS!$G$36,0,1)*($B$92-G72)*G70</f>
        <v>2638.0200000000004</v>
      </c>
      <c r="I71" s="21">
        <f>IF(H$1&lt;INPUTS!$G$36,0,1)*($B$92-H72)*H70</f>
        <v>2518.11</v>
      </c>
      <c r="J71" s="21">
        <f>IF(I$1&lt;INPUTS!$G$36,0,1)*($B$92-I72)*I70</f>
        <v>2398.2000000000003</v>
      </c>
      <c r="K71" s="21">
        <f>IF(J$1&lt;INPUTS!$G$36,0,1)*($B$92-J72)*J70</f>
        <v>2278.2900000000004</v>
      </c>
      <c r="L71" s="21">
        <f>IF(K$1&lt;INPUTS!$G$36,0,1)*($B$92-K72)*K70</f>
        <v>2158.38</v>
      </c>
      <c r="M71" s="21">
        <f>IF(L$1&lt;INPUTS!$G$36,0,1)*($B$92-L72)*L70</f>
        <v>2038.4700000000003</v>
      </c>
      <c r="N71" s="21">
        <f>IF(M$1&lt;INPUTS!$G$36,0,1)*($B$92-M72)*M70</f>
        <v>1918.5600000000002</v>
      </c>
      <c r="O71" s="21">
        <f>IF(N$1&lt;INPUTS!$G$36,0,1)*($B$92-N72)*N70</f>
        <v>1798.65</v>
      </c>
      <c r="P71" s="21">
        <f>IF(O$1&lt;INPUTS!$G$36,0,1)*($B$92-O72)*O70</f>
        <v>1678.7400000000002</v>
      </c>
      <c r="Q71" s="21">
        <f>IF(P$1&lt;INPUTS!$G$36,0,1)*($B$92-P72)*P70</f>
        <v>1558.8300000000002</v>
      </c>
      <c r="R71" s="21">
        <f>IF(Q$1&lt;INPUTS!$G$36,0,1)*($B$92-Q72)*Q70</f>
        <v>1438.92</v>
      </c>
      <c r="S71" s="21">
        <f>IF(R$1&lt;INPUTS!$G$36,0,1)*($B$92-R72)*R70</f>
        <v>1319.0100000000002</v>
      </c>
      <c r="T71" s="21">
        <f>IF(S$1&lt;INPUTS!$G$36,0,1)*($B$92-S72)*S70</f>
        <v>1199.1000000000001</v>
      </c>
      <c r="U71" s="21">
        <f>IF(T$1&lt;INPUTS!$G$36,0,1)*($B$92-T72)*T70</f>
        <v>1079.19</v>
      </c>
      <c r="V71" s="21">
        <f>IF(U$1&lt;INPUTS!$G$36,0,1)*($B$92-U72)*U70</f>
        <v>959.28000000000009</v>
      </c>
      <c r="W71" s="21">
        <f>IF(V$1&lt;INPUTS!$G$36,0,1)*($B$92-V72)*V70</f>
        <v>839.37000000000012</v>
      </c>
      <c r="X71" s="21">
        <f>IF(W$1&lt;INPUTS!$G$36,0,1)*($B$92-W72)*W70</f>
        <v>719.46</v>
      </c>
      <c r="Y71" s="21">
        <f>IF(X$1&lt;INPUTS!$G$36,0,1)*($B$92-X72)*X70</f>
        <v>599.55000000000007</v>
      </c>
      <c r="Z71" s="21">
        <f>IF(Y$1&lt;INPUTS!$G$36,0,1)*($B$92-Y72)*Y70</f>
        <v>479.64000000000004</v>
      </c>
      <c r="AA71" s="21">
        <f>IF(Z$1&lt;INPUTS!$G$36,0,1)*($B$92-Z72)*Z70</f>
        <v>359.73</v>
      </c>
      <c r="AB71" s="73">
        <f>SUM(C71:AA71)</f>
        <v>35613.270000000011</v>
      </c>
      <c r="AC71" s="49"/>
    </row>
    <row r="72" spans="1:29" s="42" customFormat="1" ht="11.25" x14ac:dyDescent="0.2">
      <c r="A72" s="40" t="s">
        <v>160</v>
      </c>
      <c r="B72" s="41">
        <v>0</v>
      </c>
      <c r="C72" s="41">
        <f>B100</f>
        <v>0</v>
      </c>
      <c r="D72" s="41">
        <f t="shared" ref="D72:AA72" si="10">C72+C100</f>
        <v>0</v>
      </c>
      <c r="E72" s="41">
        <f t="shared" si="10"/>
        <v>3426</v>
      </c>
      <c r="F72" s="41">
        <f t="shared" si="10"/>
        <v>6852</v>
      </c>
      <c r="G72" s="41">
        <f t="shared" si="10"/>
        <v>10278</v>
      </c>
      <c r="H72" s="41">
        <f t="shared" si="10"/>
        <v>13704</v>
      </c>
      <c r="I72" s="41">
        <f t="shared" si="10"/>
        <v>17130</v>
      </c>
      <c r="J72" s="41">
        <f t="shared" si="10"/>
        <v>20556</v>
      </c>
      <c r="K72" s="41">
        <f t="shared" si="10"/>
        <v>23982</v>
      </c>
      <c r="L72" s="41">
        <f t="shared" si="10"/>
        <v>27408</v>
      </c>
      <c r="M72" s="41">
        <f t="shared" si="10"/>
        <v>30834</v>
      </c>
      <c r="N72" s="41">
        <f t="shared" si="10"/>
        <v>34260</v>
      </c>
      <c r="O72" s="41">
        <f t="shared" si="10"/>
        <v>37686</v>
      </c>
      <c r="P72" s="41">
        <f t="shared" si="10"/>
        <v>41112</v>
      </c>
      <c r="Q72" s="41">
        <f t="shared" si="10"/>
        <v>44538</v>
      </c>
      <c r="R72" s="41">
        <f t="shared" si="10"/>
        <v>47964</v>
      </c>
      <c r="S72" s="41">
        <f t="shared" si="10"/>
        <v>51390</v>
      </c>
      <c r="T72" s="41">
        <f t="shared" si="10"/>
        <v>54816</v>
      </c>
      <c r="U72" s="41">
        <f t="shared" si="10"/>
        <v>58242</v>
      </c>
      <c r="V72" s="41">
        <f t="shared" si="10"/>
        <v>61668</v>
      </c>
      <c r="W72" s="41">
        <f t="shared" si="10"/>
        <v>65094</v>
      </c>
      <c r="X72" s="41">
        <f t="shared" si="10"/>
        <v>68520</v>
      </c>
      <c r="Y72" s="41">
        <f t="shared" si="10"/>
        <v>71946</v>
      </c>
      <c r="Z72" s="41">
        <f t="shared" si="10"/>
        <v>75372</v>
      </c>
      <c r="AA72" s="41">
        <f t="shared" si="10"/>
        <v>78798</v>
      </c>
      <c r="AB72" s="74"/>
    </row>
    <row r="74" spans="1:29" s="17" customFormat="1" x14ac:dyDescent="0.25">
      <c r="A74" s="17" t="s">
        <v>230</v>
      </c>
      <c r="C74" s="17">
        <f>C37+C50+C59+C66+C68+C71</f>
        <v>3116</v>
      </c>
      <c r="D74" s="17">
        <f t="shared" ref="D74:AA74" si="11">D37+D50+D59+D66+D68+D71</f>
        <v>3284.2</v>
      </c>
      <c r="E74" s="17">
        <f t="shared" si="11"/>
        <v>3468.0027500000001</v>
      </c>
      <c r="F74" s="17">
        <f t="shared" si="11"/>
        <v>6998.5799818750002</v>
      </c>
      <c r="G74" s="17">
        <f t="shared" si="11"/>
        <v>7099.4018778453137</v>
      </c>
      <c r="H74" s="17">
        <f t="shared" si="11"/>
        <v>7222.0359550088715</v>
      </c>
      <c r="I74" s="17">
        <f t="shared" si="11"/>
        <v>7369.089615029241</v>
      </c>
      <c r="J74" s="17">
        <f t="shared" si="11"/>
        <v>7543.4968246911267</v>
      </c>
      <c r="K74" s="17">
        <f t="shared" si="11"/>
        <v>7748.5594522580413</v>
      </c>
      <c r="L74" s="17">
        <f t="shared" si="11"/>
        <v>16535.993851325162</v>
      </c>
      <c r="M74" s="17">
        <f t="shared" si="11"/>
        <v>8265.9833591133884</v>
      </c>
      <c r="N74" s="17">
        <f t="shared" si="11"/>
        <v>8587.2374609799099</v>
      </c>
      <c r="O74" s="17">
        <f t="shared" si="11"/>
        <v>8957.0584685447611</v>
      </c>
      <c r="P74" s="17">
        <f t="shared" si="11"/>
        <v>9381.4166666268211</v>
      </c>
      <c r="Q74" s="17">
        <f t="shared" si="11"/>
        <v>9867.0350056953994</v>
      </c>
      <c r="R74" s="17">
        <f t="shared" si="11"/>
        <v>10421.484553521801</v>
      </c>
      <c r="S74" s="17">
        <f t="shared" si="11"/>
        <v>11053.292074128283</v>
      </c>
      <c r="T74" s="17">
        <f t="shared" si="11"/>
        <v>11772.061276199338</v>
      </c>
      <c r="U74" s="17">
        <f t="shared" si="11"/>
        <v>12588.609469345021</v>
      </c>
      <c r="V74" s="17">
        <f t="shared" si="11"/>
        <v>22063.121587809619</v>
      </c>
      <c r="W74" s="17">
        <f t="shared" si="11"/>
        <v>14565.323790581822</v>
      </c>
      <c r="X74" s="17">
        <f t="shared" si="11"/>
        <v>15754.679127970961</v>
      </c>
      <c r="Y74" s="17">
        <f t="shared" si="11"/>
        <v>17100.60808161032</v>
      </c>
      <c r="Z74" s="17">
        <f t="shared" si="11"/>
        <v>18622.737142090711</v>
      </c>
      <c r="AA74" s="17">
        <f t="shared" si="11"/>
        <v>20343.178991153811</v>
      </c>
      <c r="AB74" s="70"/>
    </row>
    <row r="76" spans="1:29" s="1" customFormat="1" x14ac:dyDescent="0.25">
      <c r="A76" s="50" t="s">
        <v>88</v>
      </c>
      <c r="B76" s="50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70"/>
    </row>
    <row r="77" spans="1:29" x14ac:dyDescent="0.25">
      <c r="A77" s="36" t="s">
        <v>90</v>
      </c>
      <c r="B77" s="18"/>
      <c r="C77" s="39">
        <f>($B$88+$B$89)/INPUTS!$G$39</f>
        <v>3300</v>
      </c>
      <c r="D77" s="39">
        <f>($B$88+$B$89)/INPUTS!$G$39</f>
        <v>3300</v>
      </c>
      <c r="E77" s="39">
        <f>($B$88+$B$89)/INPUTS!$G$39</f>
        <v>3300</v>
      </c>
      <c r="F77" s="39">
        <f>($B$88+$B$89)/INPUTS!$G$39</f>
        <v>3300</v>
      </c>
      <c r="G77" s="39">
        <f>($B$88+$B$89)/INPUTS!$G$39</f>
        <v>3300</v>
      </c>
      <c r="H77" s="39">
        <f>($B$88+$B$89)/INPUTS!$G$39</f>
        <v>3300</v>
      </c>
      <c r="I77" s="39">
        <f>($B$88+$B$89)/INPUTS!$G$39</f>
        <v>3300</v>
      </c>
      <c r="J77" s="39">
        <f>($B$88+$B$89)/INPUTS!$G$39</f>
        <v>3300</v>
      </c>
      <c r="K77" s="39">
        <f>($B$88+$B$89)/INPUTS!$G$39</f>
        <v>3300</v>
      </c>
      <c r="L77" s="39">
        <f>($B$88+$B$89)/INPUTS!$G$39</f>
        <v>3300</v>
      </c>
      <c r="M77" s="39">
        <f>($B$88+$B$89)/INPUTS!$G$39</f>
        <v>3300</v>
      </c>
      <c r="N77" s="39">
        <f>($B$88+$B$89)/INPUTS!$G$39</f>
        <v>3300</v>
      </c>
      <c r="O77" s="39">
        <f>($B$88+$B$89)/INPUTS!$G$39</f>
        <v>3300</v>
      </c>
      <c r="P77" s="39">
        <f>($B$88+$B$89)/INPUTS!$G$39</f>
        <v>3300</v>
      </c>
      <c r="Q77" s="39">
        <f>($B$88+$B$89)/INPUTS!$G$39</f>
        <v>3300</v>
      </c>
      <c r="R77" s="39">
        <f>($B$88+$B$89)/INPUTS!$G$39</f>
        <v>3300</v>
      </c>
      <c r="S77" s="39">
        <f>($B$88+$B$89)/INPUTS!$G$39</f>
        <v>3300</v>
      </c>
      <c r="T77" s="39">
        <f>($B$88+$B$89)/INPUTS!$G$39</f>
        <v>3300</v>
      </c>
      <c r="U77" s="39">
        <f>($B$88+$B$89)/INPUTS!$G$39</f>
        <v>3300</v>
      </c>
      <c r="V77" s="39">
        <f>($B$88+$B$89)/INPUTS!$G$39</f>
        <v>3300</v>
      </c>
      <c r="W77" s="39">
        <f>($B$88+$B$89)/INPUTS!$G$39</f>
        <v>3300</v>
      </c>
      <c r="X77" s="39">
        <f>($B$88+$B$89)/INPUTS!$G$39</f>
        <v>3300</v>
      </c>
      <c r="Y77" s="39">
        <f>($B$88+$B$89)/INPUTS!$G$39</f>
        <v>3300</v>
      </c>
      <c r="Z77" s="39">
        <f>($B$88+$B$89)/INPUTS!$G$39</f>
        <v>3300</v>
      </c>
      <c r="AA77" s="39">
        <f>($B$88+$B$89)/INPUTS!$G$39</f>
        <v>3300</v>
      </c>
    </row>
    <row r="78" spans="1:29" x14ac:dyDescent="0.25">
      <c r="A78" s="36" t="s">
        <v>91</v>
      </c>
      <c r="B78" s="18"/>
      <c r="C78" s="21">
        <f>($B$90+$B$91)/INPUTS!$K$39</f>
        <v>315</v>
      </c>
      <c r="D78" s="21">
        <f>($B$90+$B$91)/INPUTS!$K$39</f>
        <v>315</v>
      </c>
      <c r="E78" s="21">
        <f>($B$90+$B$91)/INPUTS!$K$39</f>
        <v>315</v>
      </c>
      <c r="F78" s="21">
        <f>($B$90+$B$91)/INPUTS!$K$39</f>
        <v>315</v>
      </c>
      <c r="G78" s="21">
        <f>($B$90+$B$91)/INPUTS!$K$39</f>
        <v>315</v>
      </c>
      <c r="H78" s="21">
        <f>($B$90+$B$91)/INPUTS!$K$39</f>
        <v>315</v>
      </c>
      <c r="I78" s="21">
        <f>($B$90+$B$91)/INPUTS!$K$39</f>
        <v>315</v>
      </c>
      <c r="J78" s="21">
        <f>($B$90+$B$91)/INPUTS!$K$39</f>
        <v>315</v>
      </c>
      <c r="K78" s="21">
        <f>($B$90+$B$91)/INPUTS!$K$39</f>
        <v>315</v>
      </c>
      <c r="L78" s="21">
        <f>($B$90+$B$91)/INPUTS!$K$39</f>
        <v>315</v>
      </c>
      <c r="M78" s="21">
        <f>($B$90+$B$91)/INPUTS!$K$39</f>
        <v>315</v>
      </c>
      <c r="N78" s="21">
        <f>($B$90+$B$91)/INPUTS!$K$39</f>
        <v>315</v>
      </c>
      <c r="O78" s="21">
        <f>($B$90+$B$91)/INPUTS!$K$39</f>
        <v>315</v>
      </c>
      <c r="P78" s="21">
        <f>($B$90+$B$91)/INPUTS!$K$39</f>
        <v>315</v>
      </c>
      <c r="Q78" s="21">
        <f>($B$90+$B$91)/INPUTS!$K$39</f>
        <v>315</v>
      </c>
      <c r="R78" s="21">
        <f>($B$90+$B$91)/INPUTS!$K$39</f>
        <v>315</v>
      </c>
      <c r="S78" s="21">
        <f>($B$90+$B$91)/INPUTS!$K$39</f>
        <v>315</v>
      </c>
      <c r="T78" s="21">
        <f>($B$90+$B$91)/INPUTS!$K$39</f>
        <v>315</v>
      </c>
      <c r="U78" s="21">
        <f>($B$90+$B$91)/INPUTS!$K$39</f>
        <v>315</v>
      </c>
      <c r="V78" s="21">
        <f>($B$90+$B$91)/INPUTS!$K$39</f>
        <v>315</v>
      </c>
      <c r="W78" s="21">
        <f>($B$90+$B$91)/INPUTS!$K$39</f>
        <v>315</v>
      </c>
      <c r="X78" s="21">
        <f>($B$90+$B$91)/INPUTS!$K$39</f>
        <v>315</v>
      </c>
      <c r="Y78" s="21">
        <f>($B$90+$B$91)/INPUTS!$K$39</f>
        <v>315</v>
      </c>
      <c r="Z78" s="21">
        <f>($B$90+$B$91)/INPUTS!$K$39</f>
        <v>315</v>
      </c>
      <c r="AA78" s="21">
        <f>($B$90+$B$91)/INPUTS!$K$39</f>
        <v>315</v>
      </c>
    </row>
    <row r="79" spans="1:29" x14ac:dyDescent="0.25">
      <c r="A79" s="50" t="s">
        <v>151</v>
      </c>
      <c r="B79" s="50"/>
      <c r="C79" s="21">
        <f>SUM(C77:C78)</f>
        <v>3615</v>
      </c>
      <c r="D79" s="21">
        <f t="shared" ref="D79:AA79" si="12">SUM(D77:D78)</f>
        <v>3615</v>
      </c>
      <c r="E79" s="21">
        <f t="shared" si="12"/>
        <v>3615</v>
      </c>
      <c r="F79" s="21">
        <f t="shared" si="12"/>
        <v>3615</v>
      </c>
      <c r="G79" s="21">
        <f t="shared" si="12"/>
        <v>3615</v>
      </c>
      <c r="H79" s="21">
        <f t="shared" si="12"/>
        <v>3615</v>
      </c>
      <c r="I79" s="21">
        <f t="shared" si="12"/>
        <v>3615</v>
      </c>
      <c r="J79" s="21">
        <f t="shared" si="12"/>
        <v>3615</v>
      </c>
      <c r="K79" s="21">
        <f t="shared" si="12"/>
        <v>3615</v>
      </c>
      <c r="L79" s="21">
        <f t="shared" si="12"/>
        <v>3615</v>
      </c>
      <c r="M79" s="21">
        <f t="shared" si="12"/>
        <v>3615</v>
      </c>
      <c r="N79" s="21">
        <f t="shared" si="12"/>
        <v>3615</v>
      </c>
      <c r="O79" s="21">
        <f t="shared" si="12"/>
        <v>3615</v>
      </c>
      <c r="P79" s="21">
        <f t="shared" si="12"/>
        <v>3615</v>
      </c>
      <c r="Q79" s="21">
        <f t="shared" si="12"/>
        <v>3615</v>
      </c>
      <c r="R79" s="21">
        <f t="shared" si="12"/>
        <v>3615</v>
      </c>
      <c r="S79" s="21">
        <f t="shared" si="12"/>
        <v>3615</v>
      </c>
      <c r="T79" s="21">
        <f t="shared" si="12"/>
        <v>3615</v>
      </c>
      <c r="U79" s="21">
        <f t="shared" si="12"/>
        <v>3615</v>
      </c>
      <c r="V79" s="21">
        <f t="shared" si="12"/>
        <v>3615</v>
      </c>
      <c r="W79" s="21">
        <f t="shared" si="12"/>
        <v>3615</v>
      </c>
      <c r="X79" s="21">
        <f t="shared" si="12"/>
        <v>3615</v>
      </c>
      <c r="Y79" s="21">
        <f t="shared" si="12"/>
        <v>3615</v>
      </c>
      <c r="Z79" s="21">
        <f t="shared" si="12"/>
        <v>3615</v>
      </c>
      <c r="AA79" s="21">
        <f t="shared" si="12"/>
        <v>3615</v>
      </c>
      <c r="AB79" s="69">
        <f>SUM(C79:AA79)</f>
        <v>90375</v>
      </c>
    </row>
    <row r="81" spans="1:28" s="33" customFormat="1" x14ac:dyDescent="0.25">
      <c r="A81" s="48" t="s">
        <v>173</v>
      </c>
      <c r="B81" s="48"/>
      <c r="C81" s="17">
        <f>C30-C74-C79</f>
        <v>3745.6666666666661</v>
      </c>
      <c r="D81" s="17">
        <f t="shared" ref="D81:AA81" si="13">D30-D74-D79</f>
        <v>3840.0266666666676</v>
      </c>
      <c r="E81" s="17">
        <f t="shared" si="13"/>
        <v>3939.6633641666667</v>
      </c>
      <c r="F81" s="17">
        <f t="shared" si="13"/>
        <v>715.84902211104236</v>
      </c>
      <c r="G81" s="17">
        <f t="shared" si="13"/>
        <v>947.86616824782868</v>
      </c>
      <c r="H81" s="17">
        <f t="shared" si="13"/>
        <v>1187.2480258556434</v>
      </c>
      <c r="I81" s="17">
        <f t="shared" si="13"/>
        <v>1434.8802913653926</v>
      </c>
      <c r="J81" s="17">
        <f t="shared" si="13"/>
        <v>1691.7644321916632</v>
      </c>
      <c r="K81" s="17">
        <f t="shared" si="13"/>
        <v>1959.0327003413859</v>
      </c>
      <c r="L81" s="17">
        <f t="shared" si="13"/>
        <v>-6310.0349175268857</v>
      </c>
      <c r="M81" s="17">
        <f t="shared" si="13"/>
        <v>2530.0084354036026</v>
      </c>
      <c r="N81" s="17">
        <f t="shared" si="13"/>
        <v>2836.7980880118575</v>
      </c>
      <c r="O81" s="17">
        <f t="shared" si="13"/>
        <v>3160.1822265388219</v>
      </c>
      <c r="P81" s="17">
        <f t="shared" si="13"/>
        <v>3502.2494209475117</v>
      </c>
      <c r="Q81" s="17">
        <f t="shared" si="13"/>
        <v>3865.3596958850339</v>
      </c>
      <c r="R81" s="17">
        <f t="shared" si="13"/>
        <v>4252.1796015409818</v>
      </c>
      <c r="S81" s="17">
        <f t="shared" si="13"/>
        <v>4665.7217980784226</v>
      </c>
      <c r="T81" s="17">
        <f t="shared" si="13"/>
        <v>5109.3897331721364</v>
      </c>
      <c r="U81" s="17">
        <f t="shared" si="13"/>
        <v>5587.0280664803831</v>
      </c>
      <c r="V81" s="17">
        <f t="shared" si="13"/>
        <v>-2445.0204213194738</v>
      </c>
      <c r="W81" s="17">
        <f t="shared" si="13"/>
        <v>6662.1493972315166</v>
      </c>
      <c r="X81" s="17">
        <f t="shared" si="13"/>
        <v>7270.0774776606595</v>
      </c>
      <c r="Y81" s="17">
        <f t="shared" si="13"/>
        <v>7933.0203994550611</v>
      </c>
      <c r="Z81" s="17">
        <f t="shared" si="13"/>
        <v>8658.0436713163836</v>
      </c>
      <c r="AA81" s="17">
        <f t="shared" si="13"/>
        <v>9453.1258935784244</v>
      </c>
      <c r="AB81" s="69"/>
    </row>
    <row r="85" spans="1:28" s="64" customFormat="1" x14ac:dyDescent="0.25">
      <c r="A85" s="66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9"/>
    </row>
    <row r="86" spans="1:28" s="1" customFormat="1" x14ac:dyDescent="0.25">
      <c r="A86" s="67"/>
      <c r="B86" s="17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70"/>
    </row>
    <row r="87" spans="1:28" x14ac:dyDescent="0.25">
      <c r="A87" s="65" t="s">
        <v>103</v>
      </c>
    </row>
    <row r="88" spans="1:28" x14ac:dyDescent="0.25">
      <c r="A88" s="36" t="s">
        <v>164</v>
      </c>
      <c r="B88" s="11">
        <f>IF(INPUTS!$C$6="Y",INPUTS!$C$11*INPUTS!$G$15,0)</f>
        <v>75000</v>
      </c>
    </row>
    <row r="89" spans="1:28" x14ac:dyDescent="0.25">
      <c r="A89" s="36" t="s">
        <v>53</v>
      </c>
      <c r="B89" s="11">
        <f>INPUTS!$G$31*B88</f>
        <v>7500</v>
      </c>
      <c r="C89" s="21"/>
      <c r="D89" s="21"/>
    </row>
    <row r="90" spans="1:28" s="28" customFormat="1" x14ac:dyDescent="0.25">
      <c r="A90" s="36" t="s">
        <v>71</v>
      </c>
      <c r="B90" s="11">
        <f>IF(INPUTS!K6&gt;0,INPUTS!$K$6*INPUTS!$K$31,0)</f>
        <v>1650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69"/>
    </row>
    <row r="91" spans="1:28" s="28" customFormat="1" x14ac:dyDescent="0.25">
      <c r="A91" s="36" t="s">
        <v>72</v>
      </c>
      <c r="B91" s="11">
        <f>IF(INPUTS!K6&gt;0,INPUTS!$K$6*INPUTS!$K$32,0)</f>
        <v>1500</v>
      </c>
      <c r="C91" s="2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69"/>
    </row>
    <row r="92" spans="1:28" x14ac:dyDescent="0.25">
      <c r="A92" s="65" t="s">
        <v>55</v>
      </c>
      <c r="B92" s="17">
        <f>SUM(B88:B91)</f>
        <v>85650</v>
      </c>
      <c r="C92" s="21"/>
    </row>
    <row r="93" spans="1:28" x14ac:dyDescent="0.25">
      <c r="A93" s="65" t="s">
        <v>222</v>
      </c>
      <c r="B93" s="17">
        <f>B92</f>
        <v>85650</v>
      </c>
      <c r="C93" s="21"/>
    </row>
    <row r="94" spans="1:28" x14ac:dyDescent="0.25">
      <c r="A94" s="65"/>
      <c r="B94" s="17"/>
      <c r="C94" s="21"/>
    </row>
    <row r="95" spans="1:28" x14ac:dyDescent="0.25">
      <c r="A95" s="65" t="s">
        <v>158</v>
      </c>
    </row>
    <row r="96" spans="1:28" s="1" customFormat="1" x14ac:dyDescent="0.25">
      <c r="A96" s="50" t="s">
        <v>215</v>
      </c>
      <c r="B96" s="52">
        <f>B92</f>
        <v>85650</v>
      </c>
      <c r="C96" s="52">
        <f>B101</f>
        <v>0</v>
      </c>
      <c r="D96" s="52">
        <f t="shared" ref="D96:AA96" si="14">C101</f>
        <v>7360.6666666666661</v>
      </c>
      <c r="E96" s="52">
        <f t="shared" si="14"/>
        <v>11389.693333333333</v>
      </c>
      <c r="F96" s="52">
        <f t="shared" si="14"/>
        <v>15518.356697499999</v>
      </c>
      <c r="G96" s="52">
        <f t="shared" si="14"/>
        <v>16423.20571961104</v>
      </c>
      <c r="H96" s="52">
        <f t="shared" si="14"/>
        <v>17560.071887858867</v>
      </c>
      <c r="I96" s="52">
        <f t="shared" si="14"/>
        <v>18936.319913714509</v>
      </c>
      <c r="J96" s="52">
        <f t="shared" si="14"/>
        <v>20560.200205079902</v>
      </c>
      <c r="K96" s="52">
        <f t="shared" si="14"/>
        <v>22440.964637271565</v>
      </c>
      <c r="L96" s="52">
        <f t="shared" si="14"/>
        <v>24588.997337612949</v>
      </c>
      <c r="M96" s="52">
        <f t="shared" si="14"/>
        <v>18467.962420086064</v>
      </c>
      <c r="N96" s="52">
        <f t="shared" si="14"/>
        <v>21186.970855489664</v>
      </c>
      <c r="O96" s="52">
        <f t="shared" si="14"/>
        <v>24212.76894350152</v>
      </c>
      <c r="P96" s="52">
        <f t="shared" si="14"/>
        <v>27561.951170040342</v>
      </c>
      <c r="Q96" s="52">
        <f t="shared" si="14"/>
        <v>31253.20059098785</v>
      </c>
      <c r="R96" s="52">
        <f t="shared" si="14"/>
        <v>35307.560286872882</v>
      </c>
      <c r="S96" s="52">
        <f t="shared" si="14"/>
        <v>39748.739888413867</v>
      </c>
      <c r="T96" s="52">
        <f t="shared" si="14"/>
        <v>44603.461686492286</v>
      </c>
      <c r="U96" s="52">
        <f t="shared" si="14"/>
        <v>49901.851419664425</v>
      </c>
      <c r="V96" s="52">
        <f t="shared" si="14"/>
        <v>55677.879486144811</v>
      </c>
      <c r="W96" s="52">
        <f t="shared" si="14"/>
        <v>53421.859064825338</v>
      </c>
      <c r="X96" s="52">
        <f t="shared" si="14"/>
        <v>60273.008462056852</v>
      </c>
      <c r="Y96" s="52">
        <f t="shared" si="14"/>
        <v>67732.085939717508</v>
      </c>
      <c r="Z96" s="52">
        <f t="shared" si="14"/>
        <v>75854.106339172577</v>
      </c>
      <c r="AA96" s="52">
        <f t="shared" si="14"/>
        <v>84701.150010488956</v>
      </c>
      <c r="AB96" s="76"/>
    </row>
    <row r="97" spans="1:28" x14ac:dyDescent="0.25">
      <c r="A97" s="36" t="s">
        <v>161</v>
      </c>
      <c r="B97" s="51">
        <f>B92</f>
        <v>85650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1:28" x14ac:dyDescent="0.25">
      <c r="A98" s="36" t="s">
        <v>223</v>
      </c>
      <c r="B98" s="51">
        <f>B81</f>
        <v>0</v>
      </c>
      <c r="C98" s="51">
        <f t="shared" ref="C98:AA98" si="15">C81</f>
        <v>3745.6666666666661</v>
      </c>
      <c r="D98" s="51">
        <f t="shared" si="15"/>
        <v>3840.0266666666676</v>
      </c>
      <c r="E98" s="51">
        <f t="shared" si="15"/>
        <v>3939.6633641666667</v>
      </c>
      <c r="F98" s="51">
        <f t="shared" si="15"/>
        <v>715.84902211104236</v>
      </c>
      <c r="G98" s="51">
        <f t="shared" si="15"/>
        <v>947.86616824782868</v>
      </c>
      <c r="H98" s="51">
        <f t="shared" si="15"/>
        <v>1187.2480258556434</v>
      </c>
      <c r="I98" s="51">
        <f t="shared" si="15"/>
        <v>1434.8802913653926</v>
      </c>
      <c r="J98" s="51">
        <f t="shared" si="15"/>
        <v>1691.7644321916632</v>
      </c>
      <c r="K98" s="51">
        <f t="shared" si="15"/>
        <v>1959.0327003413859</v>
      </c>
      <c r="L98" s="51">
        <f t="shared" si="15"/>
        <v>-6310.0349175268857</v>
      </c>
      <c r="M98" s="51">
        <f t="shared" si="15"/>
        <v>2530.0084354036026</v>
      </c>
      <c r="N98" s="51">
        <f t="shared" si="15"/>
        <v>2836.7980880118575</v>
      </c>
      <c r="O98" s="51">
        <f t="shared" si="15"/>
        <v>3160.1822265388219</v>
      </c>
      <c r="P98" s="51">
        <f t="shared" si="15"/>
        <v>3502.2494209475117</v>
      </c>
      <c r="Q98" s="51">
        <f t="shared" si="15"/>
        <v>3865.3596958850339</v>
      </c>
      <c r="R98" s="51">
        <f t="shared" si="15"/>
        <v>4252.1796015409818</v>
      </c>
      <c r="S98" s="51">
        <f t="shared" si="15"/>
        <v>4665.7217980784226</v>
      </c>
      <c r="T98" s="51">
        <f t="shared" si="15"/>
        <v>5109.3897331721364</v>
      </c>
      <c r="U98" s="51">
        <f t="shared" si="15"/>
        <v>5587.0280664803831</v>
      </c>
      <c r="V98" s="51">
        <f t="shared" si="15"/>
        <v>-2445.0204213194738</v>
      </c>
      <c r="W98" s="51">
        <f t="shared" si="15"/>
        <v>6662.1493972315166</v>
      </c>
      <c r="X98" s="51">
        <f t="shared" si="15"/>
        <v>7270.0774776606595</v>
      </c>
      <c r="Y98" s="51">
        <f t="shared" si="15"/>
        <v>7933.0203994550611</v>
      </c>
      <c r="Z98" s="51">
        <f t="shared" si="15"/>
        <v>8658.0436713163836</v>
      </c>
      <c r="AA98" s="51">
        <f t="shared" si="15"/>
        <v>9453.1258935784244</v>
      </c>
    </row>
    <row r="99" spans="1:28" x14ac:dyDescent="0.25">
      <c r="A99" s="36" t="s">
        <v>151</v>
      </c>
      <c r="B99" s="51">
        <f>B79</f>
        <v>0</v>
      </c>
      <c r="C99" s="51">
        <f t="shared" ref="C99:AA99" si="16">C79</f>
        <v>3615</v>
      </c>
      <c r="D99" s="51">
        <f t="shared" si="16"/>
        <v>3615</v>
      </c>
      <c r="E99" s="51">
        <f t="shared" si="16"/>
        <v>3615</v>
      </c>
      <c r="F99" s="51">
        <f t="shared" si="16"/>
        <v>3615</v>
      </c>
      <c r="G99" s="51">
        <f t="shared" si="16"/>
        <v>3615</v>
      </c>
      <c r="H99" s="51">
        <f t="shared" si="16"/>
        <v>3615</v>
      </c>
      <c r="I99" s="51">
        <f t="shared" si="16"/>
        <v>3615</v>
      </c>
      <c r="J99" s="51">
        <f t="shared" si="16"/>
        <v>3615</v>
      </c>
      <c r="K99" s="51">
        <f t="shared" si="16"/>
        <v>3615</v>
      </c>
      <c r="L99" s="51">
        <f t="shared" si="16"/>
        <v>3615</v>
      </c>
      <c r="M99" s="51">
        <f t="shared" si="16"/>
        <v>3615</v>
      </c>
      <c r="N99" s="51">
        <f t="shared" si="16"/>
        <v>3615</v>
      </c>
      <c r="O99" s="51">
        <f t="shared" si="16"/>
        <v>3615</v>
      </c>
      <c r="P99" s="51">
        <f t="shared" si="16"/>
        <v>3615</v>
      </c>
      <c r="Q99" s="51">
        <f t="shared" si="16"/>
        <v>3615</v>
      </c>
      <c r="R99" s="51">
        <f t="shared" si="16"/>
        <v>3615</v>
      </c>
      <c r="S99" s="51">
        <f t="shared" si="16"/>
        <v>3615</v>
      </c>
      <c r="T99" s="51">
        <f t="shared" si="16"/>
        <v>3615</v>
      </c>
      <c r="U99" s="51">
        <f t="shared" si="16"/>
        <v>3615</v>
      </c>
      <c r="V99" s="51">
        <f t="shared" si="16"/>
        <v>3615</v>
      </c>
      <c r="W99" s="51">
        <f t="shared" si="16"/>
        <v>3615</v>
      </c>
      <c r="X99" s="51">
        <f t="shared" si="16"/>
        <v>3615</v>
      </c>
      <c r="Y99" s="51">
        <f t="shared" si="16"/>
        <v>3615</v>
      </c>
      <c r="Z99" s="51">
        <f t="shared" si="16"/>
        <v>3615</v>
      </c>
      <c r="AA99" s="51">
        <f t="shared" si="16"/>
        <v>3615</v>
      </c>
      <c r="AB99" s="77">
        <f>SUM(B99:AA99)</f>
        <v>90375</v>
      </c>
    </row>
    <row r="100" spans="1:28" s="47" customFormat="1" x14ac:dyDescent="0.25">
      <c r="A100" s="37" t="s">
        <v>105</v>
      </c>
      <c r="B100" s="89">
        <v>0</v>
      </c>
      <c r="C100" s="89">
        <f>IF(C$1&lt;INPUTS!$G$37,0,1)*($B$92/INPUTS!$G$35)*IF(C$1&gt;INPUTS!$G$35,0,1)</f>
        <v>0</v>
      </c>
      <c r="D100" s="89">
        <f>IF(D$1&lt;INPUTS!$G$37,0,1)*($B$92/INPUTS!$G$35)*IF(D$1&gt;INPUTS!$G$35,0,1)</f>
        <v>3426</v>
      </c>
      <c r="E100" s="89">
        <f>IF(E$1&lt;INPUTS!$G$37,0,1)*($B$92/INPUTS!$G$35)*IF(E$1&gt;INPUTS!$G$35,0,1)</f>
        <v>3426</v>
      </c>
      <c r="F100" s="89">
        <f>IF(F$1&lt;INPUTS!$G$37,0,1)*($B$92/INPUTS!$G$35)*IF(F$1&gt;INPUTS!$G$35,0,1)</f>
        <v>3426</v>
      </c>
      <c r="G100" s="89">
        <f>IF(G$1&lt;INPUTS!$G$37,0,1)*($B$92/INPUTS!$G$35)*IF(G$1&gt;INPUTS!$G$35,0,1)</f>
        <v>3426</v>
      </c>
      <c r="H100" s="89">
        <f>IF(H$1&lt;INPUTS!$G$37,0,1)*($B$92/INPUTS!$G$35)*IF(H$1&gt;INPUTS!$G$35,0,1)</f>
        <v>3426</v>
      </c>
      <c r="I100" s="89">
        <f>IF(I$1&lt;INPUTS!$G$37,0,1)*($B$92/INPUTS!$G$35)*IF(I$1&gt;INPUTS!$G$35,0,1)</f>
        <v>3426</v>
      </c>
      <c r="J100" s="89">
        <f>IF(J$1&lt;INPUTS!$G$37,0,1)*($B$92/INPUTS!$G$35)*IF(J$1&gt;INPUTS!$G$35,0,1)</f>
        <v>3426</v>
      </c>
      <c r="K100" s="89">
        <f>IF(K$1&lt;INPUTS!$G$37,0,1)*($B$92/INPUTS!$G$35)*IF(K$1&gt;INPUTS!$G$35,0,1)</f>
        <v>3426</v>
      </c>
      <c r="L100" s="89">
        <f>IF(L$1&lt;INPUTS!$G$37,0,1)*($B$92/INPUTS!$G$35)*IF(L$1&gt;INPUTS!$G$35,0,1)</f>
        <v>3426</v>
      </c>
      <c r="M100" s="89">
        <f>IF(M$1&lt;INPUTS!$G$37,0,1)*($B$92/INPUTS!$G$35)*IF(M$1&gt;INPUTS!$G$35,0,1)</f>
        <v>3426</v>
      </c>
      <c r="N100" s="89">
        <f>IF(N$1&lt;INPUTS!$G$37,0,1)*($B$92/INPUTS!$G$35)*IF(N$1&gt;INPUTS!$G$35,0,1)</f>
        <v>3426</v>
      </c>
      <c r="O100" s="89">
        <f>IF(O$1&lt;INPUTS!$G$37,0,1)*($B$92/INPUTS!$G$35)*IF(O$1&gt;INPUTS!$G$35,0,1)</f>
        <v>3426</v>
      </c>
      <c r="P100" s="89">
        <f>IF(P$1&lt;INPUTS!$G$37,0,1)*($B$92/INPUTS!$G$35)*IF(P$1&gt;INPUTS!$G$35,0,1)</f>
        <v>3426</v>
      </c>
      <c r="Q100" s="89">
        <f>IF(Q$1&lt;INPUTS!$G$37,0,1)*($B$92/INPUTS!$G$35)*IF(Q$1&gt;INPUTS!$G$35,0,1)</f>
        <v>3426</v>
      </c>
      <c r="R100" s="89">
        <f>IF(R$1&lt;INPUTS!$G$37,0,1)*($B$92/INPUTS!$G$35)*IF(R$1&gt;INPUTS!$G$35,0,1)</f>
        <v>3426</v>
      </c>
      <c r="S100" s="89">
        <f>IF(S$1&lt;INPUTS!$G$37,0,1)*($B$92/INPUTS!$G$35)*IF(S$1&gt;INPUTS!$G$35,0,1)</f>
        <v>3426</v>
      </c>
      <c r="T100" s="89">
        <f>IF(T$1&lt;INPUTS!$G$37,0,1)*($B$92/INPUTS!$G$35)*IF(T$1&gt;INPUTS!$G$35,0,1)</f>
        <v>3426</v>
      </c>
      <c r="U100" s="89">
        <f>IF(U$1&lt;INPUTS!$G$37,0,1)*($B$92/INPUTS!$G$35)*IF(U$1&gt;INPUTS!$G$35,0,1)</f>
        <v>3426</v>
      </c>
      <c r="V100" s="89">
        <f>IF(V$1&lt;INPUTS!$G$37,0,1)*($B$92/INPUTS!$G$35)*IF(V$1&gt;INPUTS!$G$35,0,1)</f>
        <v>3426</v>
      </c>
      <c r="W100" s="89">
        <f>IF(W$1&lt;INPUTS!$G$37,0,1)*($B$92/INPUTS!$G$35)*IF(W$1&gt;INPUTS!$G$35,0,1)</f>
        <v>3426</v>
      </c>
      <c r="X100" s="89">
        <f>IF(X$1&lt;INPUTS!$G$37,0,1)*($B$92/INPUTS!$G$35)*IF(X$1&gt;INPUTS!$G$35,0,1)</f>
        <v>3426</v>
      </c>
      <c r="Y100" s="89">
        <f>IF(Y$1&lt;INPUTS!$G$37,0,1)*($B$92/INPUTS!$G$35)*IF(Y$1&gt;INPUTS!$G$35,0,1)</f>
        <v>3426</v>
      </c>
      <c r="Z100" s="89">
        <f>IF(Z$1&lt;INPUTS!$G$37,0,1)*($B$92/INPUTS!$G$35)*IF(Z$1&gt;INPUTS!$G$35,0,1)</f>
        <v>3426</v>
      </c>
      <c r="AA100" s="89">
        <f>IF(AA$1&lt;INPUTS!$G$37,0,1)*($B$92/INPUTS!$G$35)*IF(AA$1&gt;INPUTS!$G$35,0,1)</f>
        <v>3426</v>
      </c>
      <c r="AB100" s="77">
        <f>SUM(B100:AA100)</f>
        <v>82224</v>
      </c>
    </row>
    <row r="101" spans="1:28" s="1" customFormat="1" x14ac:dyDescent="0.25">
      <c r="A101" s="50" t="s">
        <v>214</v>
      </c>
      <c r="B101" s="52">
        <f>B96-B97+B98+B99-B100</f>
        <v>0</v>
      </c>
      <c r="C101" s="52">
        <f t="shared" ref="C101:AA101" si="17">C96-C97+C98+C99-C100</f>
        <v>7360.6666666666661</v>
      </c>
      <c r="D101" s="52">
        <f t="shared" si="17"/>
        <v>11389.693333333333</v>
      </c>
      <c r="E101" s="52">
        <f t="shared" si="17"/>
        <v>15518.356697499999</v>
      </c>
      <c r="F101" s="52">
        <f t="shared" si="17"/>
        <v>16423.20571961104</v>
      </c>
      <c r="G101" s="52">
        <f t="shared" si="17"/>
        <v>17560.071887858867</v>
      </c>
      <c r="H101" s="52">
        <f t="shared" si="17"/>
        <v>18936.319913714509</v>
      </c>
      <c r="I101" s="52">
        <f t="shared" si="17"/>
        <v>20560.200205079902</v>
      </c>
      <c r="J101" s="52">
        <f t="shared" si="17"/>
        <v>22440.964637271565</v>
      </c>
      <c r="K101" s="52">
        <f t="shared" si="17"/>
        <v>24588.997337612949</v>
      </c>
      <c r="L101" s="52">
        <f t="shared" si="17"/>
        <v>18467.962420086064</v>
      </c>
      <c r="M101" s="52">
        <f t="shared" si="17"/>
        <v>21186.970855489664</v>
      </c>
      <c r="N101" s="52">
        <f t="shared" si="17"/>
        <v>24212.76894350152</v>
      </c>
      <c r="O101" s="52">
        <f t="shared" si="17"/>
        <v>27561.951170040342</v>
      </c>
      <c r="P101" s="52">
        <f t="shared" si="17"/>
        <v>31253.20059098785</v>
      </c>
      <c r="Q101" s="52">
        <f t="shared" si="17"/>
        <v>35307.560286872882</v>
      </c>
      <c r="R101" s="52">
        <f t="shared" si="17"/>
        <v>39748.739888413867</v>
      </c>
      <c r="S101" s="52">
        <f t="shared" si="17"/>
        <v>44603.461686492286</v>
      </c>
      <c r="T101" s="52">
        <f t="shared" si="17"/>
        <v>49901.851419664425</v>
      </c>
      <c r="U101" s="52">
        <f t="shared" si="17"/>
        <v>55677.879486144811</v>
      </c>
      <c r="V101" s="52">
        <f t="shared" si="17"/>
        <v>53421.859064825338</v>
      </c>
      <c r="W101" s="52">
        <f t="shared" si="17"/>
        <v>60273.008462056852</v>
      </c>
      <c r="X101" s="52">
        <f t="shared" si="17"/>
        <v>67732.085939717508</v>
      </c>
      <c r="Y101" s="52">
        <f t="shared" si="17"/>
        <v>75854.106339172577</v>
      </c>
      <c r="Z101" s="52">
        <f t="shared" si="17"/>
        <v>84701.150010488956</v>
      </c>
      <c r="AA101" s="52">
        <f t="shared" si="17"/>
        <v>94343.275904067385</v>
      </c>
      <c r="AB101" s="76">
        <f>SUM(B101:AA101)</f>
        <v>939026.30886667105</v>
      </c>
    </row>
    <row r="102" spans="1:28" s="1" customFormat="1" x14ac:dyDescent="0.25">
      <c r="B102" s="17"/>
      <c r="AB102" s="70"/>
    </row>
    <row r="104" spans="1:28" x14ac:dyDescent="0.25">
      <c r="A104" s="68" t="s">
        <v>118</v>
      </c>
      <c r="B104" s="81">
        <f>NPV(INPUTS!G41,B101:AA101)</f>
        <v>514023.35163793137</v>
      </c>
    </row>
    <row r="105" spans="1:28" x14ac:dyDescent="0.25">
      <c r="A105" s="68" t="s">
        <v>119</v>
      </c>
      <c r="B105" s="82">
        <f>IRR(B106:AA106,10)</f>
        <v>0.20848009042836013</v>
      </c>
      <c r="C105" s="21"/>
    </row>
    <row r="106" spans="1:28" s="59" customFormat="1" ht="11.25" x14ac:dyDescent="0.2">
      <c r="A106" s="59" t="s">
        <v>191</v>
      </c>
      <c r="B106" s="60">
        <f>-B96</f>
        <v>-85650</v>
      </c>
      <c r="C106" s="61">
        <f>C101</f>
        <v>7360.6666666666661</v>
      </c>
      <c r="D106" s="61">
        <f t="shared" ref="D106:AA106" si="18">D101</f>
        <v>11389.693333333333</v>
      </c>
      <c r="E106" s="61">
        <f t="shared" si="18"/>
        <v>15518.356697499999</v>
      </c>
      <c r="F106" s="61">
        <f t="shared" si="18"/>
        <v>16423.20571961104</v>
      </c>
      <c r="G106" s="61">
        <f t="shared" si="18"/>
        <v>17560.071887858867</v>
      </c>
      <c r="H106" s="61">
        <f t="shared" si="18"/>
        <v>18936.319913714509</v>
      </c>
      <c r="I106" s="61">
        <f t="shared" si="18"/>
        <v>20560.200205079902</v>
      </c>
      <c r="J106" s="61">
        <f t="shared" si="18"/>
        <v>22440.964637271565</v>
      </c>
      <c r="K106" s="61">
        <f t="shared" si="18"/>
        <v>24588.997337612949</v>
      </c>
      <c r="L106" s="61">
        <f t="shared" si="18"/>
        <v>18467.962420086064</v>
      </c>
      <c r="M106" s="61">
        <f t="shared" si="18"/>
        <v>21186.970855489664</v>
      </c>
      <c r="N106" s="61">
        <f t="shared" si="18"/>
        <v>24212.76894350152</v>
      </c>
      <c r="O106" s="61">
        <f t="shared" si="18"/>
        <v>27561.951170040342</v>
      </c>
      <c r="P106" s="61">
        <f t="shared" si="18"/>
        <v>31253.20059098785</v>
      </c>
      <c r="Q106" s="61">
        <f t="shared" si="18"/>
        <v>35307.560286872882</v>
      </c>
      <c r="R106" s="61">
        <f t="shared" si="18"/>
        <v>39748.739888413867</v>
      </c>
      <c r="S106" s="61">
        <f t="shared" si="18"/>
        <v>44603.461686492286</v>
      </c>
      <c r="T106" s="61">
        <f t="shared" si="18"/>
        <v>49901.851419664425</v>
      </c>
      <c r="U106" s="61">
        <f t="shared" si="18"/>
        <v>55677.879486144811</v>
      </c>
      <c r="V106" s="61">
        <f t="shared" si="18"/>
        <v>53421.859064825338</v>
      </c>
      <c r="W106" s="61">
        <f t="shared" si="18"/>
        <v>60273.008462056852</v>
      </c>
      <c r="X106" s="61">
        <f t="shared" si="18"/>
        <v>67732.085939717508</v>
      </c>
      <c r="Y106" s="61">
        <f t="shared" si="18"/>
        <v>75854.106339172577</v>
      </c>
      <c r="Z106" s="61">
        <f t="shared" si="18"/>
        <v>84701.150010488956</v>
      </c>
      <c r="AA106" s="61">
        <f t="shared" si="18"/>
        <v>94343.275904067385</v>
      </c>
      <c r="AB106" s="75"/>
    </row>
    <row r="112" spans="1:28" x14ac:dyDescent="0.25">
      <c r="C112" s="33"/>
      <c r="D112" s="33"/>
    </row>
    <row r="115" spans="3:3" ht="16.5" x14ac:dyDescent="0.3">
      <c r="C115" s="78"/>
    </row>
  </sheetData>
  <mergeCells count="2">
    <mergeCell ref="AB47:AB48"/>
    <mergeCell ref="AB56:AB58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FE58-1228-4C5E-A158-8BE4D2CE7986}">
  <dimension ref="A1:AB70"/>
  <sheetViews>
    <sheetView zoomScale="70" zoomScaleNormal="70" workbookViewId="0">
      <pane xSplit="1" ySplit="10" topLeftCell="B41" activePane="bottomRight" state="frozen"/>
      <selection pane="topRight" activeCell="B1" sqref="B1"/>
      <selection pane="bottomLeft" activeCell="A8" sqref="A8"/>
      <selection pane="bottomRight" activeCell="A63" sqref="A63:M74"/>
    </sheetView>
  </sheetViews>
  <sheetFormatPr defaultRowHeight="15" x14ac:dyDescent="0.25"/>
  <cols>
    <col min="1" max="1" width="31.42578125" customWidth="1"/>
    <col min="2" max="2" width="9.5703125" bestFit="1" customWidth="1"/>
    <col min="3" max="4" width="11.5703125" bestFit="1" customWidth="1"/>
    <col min="5" max="12" width="12.5703125" bestFit="1" customWidth="1"/>
  </cols>
  <sheetData>
    <row r="1" spans="1:28" x14ac:dyDescent="0.25">
      <c r="A1" s="68" t="s">
        <v>247</v>
      </c>
    </row>
    <row r="2" spans="1:28" x14ac:dyDescent="0.25">
      <c r="A2" s="68" t="s">
        <v>246</v>
      </c>
    </row>
    <row r="3" spans="1:28" ht="15.75" thickBot="1" x14ac:dyDescent="0.3"/>
    <row r="4" spans="1:28" x14ac:dyDescent="0.25">
      <c r="A4" s="106" t="s">
        <v>212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28" x14ac:dyDescent="0.25">
      <c r="A5" s="95" t="s">
        <v>41</v>
      </c>
      <c r="B5" s="96">
        <v>0</v>
      </c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6">
        <v>9</v>
      </c>
      <c r="L5" s="97">
        <v>10</v>
      </c>
      <c r="AB5" s="69"/>
    </row>
    <row r="6" spans="1:28" x14ac:dyDescent="0.25">
      <c r="A6" s="98" t="str">
        <f>'P&amp;L CF forecast'!A22</f>
        <v>Total Solar revenues if EV charges from grid</v>
      </c>
      <c r="B6" s="99">
        <f>'P&amp;L CF forecast'!B25</f>
        <v>0</v>
      </c>
      <c r="C6" s="99">
        <f>'P&amp;L CF forecast'!C25</f>
        <v>9310</v>
      </c>
      <c r="D6" s="99">
        <f>'P&amp;L CF forecast'!D25</f>
        <v>9423.8100000000013</v>
      </c>
      <c r="E6" s="99">
        <f>'P&amp;L CF forecast'!E25</f>
        <v>9539.5338224999996</v>
      </c>
      <c r="F6" s="99">
        <f>'P&amp;L CF forecast'!F25</f>
        <v>9657.1973451318754</v>
      </c>
      <c r="G6" s="99">
        <f>'P&amp;L CF forecast'!G25</f>
        <v>9776.8268507350695</v>
      </c>
      <c r="H6" s="99">
        <f>'P&amp;L CF forecast'!H25</f>
        <v>9898.4490330982862</v>
      </c>
      <c r="I6" s="99">
        <f>'P&amp;L CF forecast'!I25</f>
        <v>10022.091002788213</v>
      </c>
      <c r="J6" s="99">
        <f>'P&amp;L CF forecast'!J25</f>
        <v>10147.780293066549</v>
      </c>
      <c r="K6" s="99">
        <f>'P&amp;L CF forecast'!K25</f>
        <v>10275.544865896616</v>
      </c>
      <c r="L6" s="100">
        <f>'P&amp;L CF forecast'!L25</f>
        <v>10405.413118040857</v>
      </c>
    </row>
    <row r="7" spans="1:28" x14ac:dyDescent="0.25">
      <c r="A7" s="98" t="str">
        <f>'P&amp;L CF forecast'!A29</f>
        <v>Total EVCP revenues p.a.</v>
      </c>
      <c r="B7" s="99">
        <f>'P&amp;L CF forecast'!B29</f>
        <v>0</v>
      </c>
      <c r="C7" s="99">
        <f>'P&amp;L CF forecast'!C29</f>
        <v>1166.6666666666667</v>
      </c>
      <c r="D7" s="99">
        <f>'P&amp;L CF forecast'!D29</f>
        <v>1315.4166666666667</v>
      </c>
      <c r="E7" s="99">
        <f>'P&amp;L CF forecast'!E29</f>
        <v>1483.1322916666668</v>
      </c>
      <c r="F7" s="99">
        <f>'P&amp;L CF forecast'!F29</f>
        <v>1672.2316588541669</v>
      </c>
      <c r="G7" s="99">
        <f>'P&amp;L CF forecast'!G29</f>
        <v>1885.4411953580732</v>
      </c>
      <c r="H7" s="99">
        <f>'P&amp;L CF forecast'!H29</f>
        <v>2125.8349477662277</v>
      </c>
      <c r="I7" s="99">
        <f>'P&amp;L CF forecast'!I29</f>
        <v>2396.8789036064213</v>
      </c>
      <c r="J7" s="99">
        <f>'P&amp;L CF forecast'!J29</f>
        <v>2702.4809638162401</v>
      </c>
      <c r="K7" s="99">
        <f>'P&amp;L CF forecast'!K29</f>
        <v>3047.0472867028107</v>
      </c>
      <c r="L7" s="100">
        <f>'P&amp;L CF forecast'!L29</f>
        <v>3435.5458157574189</v>
      </c>
    </row>
    <row r="8" spans="1:28" x14ac:dyDescent="0.25">
      <c r="A8" s="101" t="str">
        <f>'P&amp;L CF forecast'!A30</f>
        <v>Total Revenues</v>
      </c>
      <c r="B8" s="99">
        <f>'P&amp;L CF forecast'!B30</f>
        <v>0</v>
      </c>
      <c r="C8" s="99">
        <f>'P&amp;L CF forecast'!C30</f>
        <v>10476.666666666666</v>
      </c>
      <c r="D8" s="99">
        <f>'P&amp;L CF forecast'!D30</f>
        <v>10739.226666666667</v>
      </c>
      <c r="E8" s="99">
        <f>'P&amp;L CF forecast'!E30</f>
        <v>11022.666114166666</v>
      </c>
      <c r="F8" s="99">
        <f>'P&amp;L CF forecast'!F30</f>
        <v>11329.429003986043</v>
      </c>
      <c r="G8" s="99">
        <f>'P&amp;L CF forecast'!G30</f>
        <v>11662.268046093142</v>
      </c>
      <c r="H8" s="99">
        <f>'P&amp;L CF forecast'!H30</f>
        <v>12024.283980864515</v>
      </c>
      <c r="I8" s="99">
        <f>'P&amp;L CF forecast'!I30</f>
        <v>12418.969906394634</v>
      </c>
      <c r="J8" s="99">
        <f>'P&amp;L CF forecast'!J30</f>
        <v>12850.26125688279</v>
      </c>
      <c r="K8" s="99">
        <f>'P&amp;L CF forecast'!K30</f>
        <v>13322.592152599427</v>
      </c>
      <c r="L8" s="100">
        <f>'P&amp;L CF forecast'!L30</f>
        <v>13840.958933798276</v>
      </c>
    </row>
    <row r="9" spans="1:28" x14ac:dyDescent="0.25">
      <c r="A9" s="102" t="str">
        <f>'P&amp;L CF forecast'!A81</f>
        <v>Net Profit</v>
      </c>
      <c r="B9" s="99">
        <f>'P&amp;L CF forecast'!B81</f>
        <v>0</v>
      </c>
      <c r="C9" s="99">
        <f>'P&amp;L CF forecast'!C81</f>
        <v>3745.6666666666661</v>
      </c>
      <c r="D9" s="99">
        <f>'P&amp;L CF forecast'!D81</f>
        <v>3840.0266666666676</v>
      </c>
      <c r="E9" s="99">
        <f>'P&amp;L CF forecast'!E81</f>
        <v>3939.6633641666667</v>
      </c>
      <c r="F9" s="99">
        <f>'P&amp;L CF forecast'!F81</f>
        <v>715.84902211104236</v>
      </c>
      <c r="G9" s="99">
        <f>'P&amp;L CF forecast'!G81</f>
        <v>947.86616824782868</v>
      </c>
      <c r="H9" s="99">
        <f>'P&amp;L CF forecast'!H81</f>
        <v>1187.2480258556434</v>
      </c>
      <c r="I9" s="99">
        <f>'P&amp;L CF forecast'!I81</f>
        <v>1434.8802913653926</v>
      </c>
      <c r="J9" s="99">
        <f>'P&amp;L CF forecast'!J81</f>
        <v>1691.7644321916632</v>
      </c>
      <c r="K9" s="99">
        <f>'P&amp;L CF forecast'!K81</f>
        <v>1959.0327003413859</v>
      </c>
      <c r="L9" s="100">
        <f>'P&amp;L CF forecast'!L81</f>
        <v>-6310.0349175268857</v>
      </c>
    </row>
    <row r="10" spans="1:28" ht="15.75" thickBot="1" x14ac:dyDescent="0.3">
      <c r="A10" s="103" t="str">
        <f>'P&amp;L CF forecast'!A101</f>
        <v>closing cash balance</v>
      </c>
      <c r="B10" s="104">
        <f>'P&amp;L CF forecast'!B101</f>
        <v>0</v>
      </c>
      <c r="C10" s="104">
        <f>'P&amp;L CF forecast'!C101</f>
        <v>7360.6666666666661</v>
      </c>
      <c r="D10" s="104">
        <f>'P&amp;L CF forecast'!D101</f>
        <v>11389.693333333333</v>
      </c>
      <c r="E10" s="104">
        <f>'P&amp;L CF forecast'!E101</f>
        <v>15518.356697499999</v>
      </c>
      <c r="F10" s="104">
        <f>'P&amp;L CF forecast'!F101</f>
        <v>16423.20571961104</v>
      </c>
      <c r="G10" s="104">
        <f>'P&amp;L CF forecast'!G101</f>
        <v>17560.071887858867</v>
      </c>
      <c r="H10" s="104">
        <f>'P&amp;L CF forecast'!H101</f>
        <v>18936.319913714509</v>
      </c>
      <c r="I10" s="104">
        <f>'P&amp;L CF forecast'!I101</f>
        <v>20560.200205079902</v>
      </c>
      <c r="J10" s="104">
        <f>'P&amp;L CF forecast'!J101</f>
        <v>22440.964637271565</v>
      </c>
      <c r="K10" s="104">
        <f>'P&amp;L CF forecast'!K101</f>
        <v>24588.997337612949</v>
      </c>
      <c r="L10" s="105">
        <f>'P&amp;L CF forecast'!L101</f>
        <v>18467.962420086064</v>
      </c>
    </row>
    <row r="11" spans="1:28" ht="15.75" thickBot="1" x14ac:dyDescent="0.3"/>
    <row r="12" spans="1:28" x14ac:dyDescent="0.25">
      <c r="A12" s="107" t="s">
        <v>213</v>
      </c>
      <c r="B12" s="108" t="s">
        <v>224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28" x14ac:dyDescent="0.25">
      <c r="A13" s="110"/>
      <c r="B13" s="111">
        <v>0</v>
      </c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AB13" s="69"/>
    </row>
    <row r="14" spans="1:28" x14ac:dyDescent="0.25">
      <c r="A14" s="113" t="s">
        <v>51</v>
      </c>
      <c r="B14" s="114">
        <v>0</v>
      </c>
      <c r="C14" s="114">
        <v>12825</v>
      </c>
      <c r="D14" s="114">
        <v>12990.656250000002</v>
      </c>
      <c r="E14" s="114">
        <v>13158.9910546875</v>
      </c>
      <c r="F14" s="114">
        <v>13330.041571494141</v>
      </c>
      <c r="G14" s="114">
        <v>13503.845529436181</v>
      </c>
      <c r="H14" s="114">
        <v>13680.441237310237</v>
      </c>
      <c r="I14" s="114">
        <v>13859.86759201229</v>
      </c>
      <c r="J14" s="114">
        <v>14042.164086981682</v>
      </c>
      <c r="K14" s="114">
        <v>14227.370820771997</v>
      </c>
      <c r="L14" s="115">
        <v>14415.528505750648</v>
      </c>
    </row>
    <row r="15" spans="1:28" x14ac:dyDescent="0.25">
      <c r="A15" s="113" t="s">
        <v>75</v>
      </c>
      <c r="B15" s="114">
        <v>0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5">
        <v>0</v>
      </c>
    </row>
    <row r="16" spans="1:28" x14ac:dyDescent="0.25">
      <c r="A16" s="116" t="s">
        <v>52</v>
      </c>
      <c r="B16" s="114">
        <v>0</v>
      </c>
      <c r="C16" s="114">
        <v>12825</v>
      </c>
      <c r="D16" s="114">
        <v>12990.656250000002</v>
      </c>
      <c r="E16" s="114">
        <v>13158.9910546875</v>
      </c>
      <c r="F16" s="114">
        <v>13330.041571494141</v>
      </c>
      <c r="G16" s="114">
        <v>13503.845529436181</v>
      </c>
      <c r="H16" s="114">
        <v>13680.441237310237</v>
      </c>
      <c r="I16" s="114">
        <v>13859.86759201229</v>
      </c>
      <c r="J16" s="114">
        <v>14042.164086981682</v>
      </c>
      <c r="K16" s="114">
        <v>14227.370820771997</v>
      </c>
      <c r="L16" s="115">
        <v>14415.528505750648</v>
      </c>
    </row>
    <row r="17" spans="1:12" x14ac:dyDescent="0.25">
      <c r="A17" s="117" t="s">
        <v>173</v>
      </c>
      <c r="B17" s="114">
        <v>0</v>
      </c>
      <c r="C17" s="114">
        <v>7305</v>
      </c>
      <c r="D17" s="114">
        <v>7415.1562500000018</v>
      </c>
      <c r="E17" s="114">
        <v>7526.6035546874991</v>
      </c>
      <c r="F17" s="114">
        <v>4867.344383994141</v>
      </c>
      <c r="G17" s="114">
        <v>5096.88091224868</v>
      </c>
      <c r="H17" s="114">
        <v>5327.7150046930492</v>
      </c>
      <c r="I17" s="114">
        <v>5559.8482035796715</v>
      </c>
      <c r="J17" s="114">
        <v>5793.2817138382488</v>
      </c>
      <c r="K17" s="114">
        <v>6028.0163882999786</v>
      </c>
      <c r="L17" s="115">
        <v>-533.94728753317031</v>
      </c>
    </row>
    <row r="18" spans="1:12" ht="15.75" thickBot="1" x14ac:dyDescent="0.3">
      <c r="A18" s="118" t="s">
        <v>214</v>
      </c>
      <c r="B18" s="119">
        <v>0</v>
      </c>
      <c r="C18" s="119">
        <v>10605</v>
      </c>
      <c r="D18" s="119">
        <v>18020.15625</v>
      </c>
      <c r="E18" s="119">
        <v>25546.759804687499</v>
      </c>
      <c r="F18" s="119">
        <v>30414.104188681638</v>
      </c>
      <c r="G18" s="119">
        <v>35510.985100930317</v>
      </c>
      <c r="H18" s="119">
        <v>40838.700105623364</v>
      </c>
      <c r="I18" s="119">
        <v>46398.548309203034</v>
      </c>
      <c r="J18" s="119">
        <v>52191.830023041286</v>
      </c>
      <c r="K18" s="119">
        <v>58219.846411341263</v>
      </c>
      <c r="L18" s="120">
        <v>57685.899123808093</v>
      </c>
    </row>
    <row r="19" spans="1:12" ht="15.75" thickBot="1" x14ac:dyDescent="0.3"/>
    <row r="20" spans="1:12" x14ac:dyDescent="0.25">
      <c r="A20" s="107" t="s">
        <v>225</v>
      </c>
      <c r="B20" s="108" t="s">
        <v>231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2" x14ac:dyDescent="0.25">
      <c r="A21" s="110"/>
      <c r="B21" s="111">
        <v>0</v>
      </c>
      <c r="C21" s="111">
        <v>1</v>
      </c>
      <c r="D21" s="111">
        <v>2</v>
      </c>
      <c r="E21" s="111">
        <v>3</v>
      </c>
      <c r="F21" s="111">
        <v>4</v>
      </c>
      <c r="G21" s="111">
        <v>5</v>
      </c>
      <c r="H21" s="111">
        <v>6</v>
      </c>
      <c r="I21" s="111">
        <v>7</v>
      </c>
      <c r="J21" s="111">
        <v>8</v>
      </c>
      <c r="K21" s="111">
        <v>9</v>
      </c>
      <c r="L21" s="112">
        <v>10</v>
      </c>
    </row>
    <row r="22" spans="1:12" x14ac:dyDescent="0.25">
      <c r="A22" s="113" t="s">
        <v>51</v>
      </c>
      <c r="B22" s="121">
        <v>0</v>
      </c>
      <c r="C22" s="121">
        <v>9310</v>
      </c>
      <c r="D22" s="121">
        <v>9423.8100000000013</v>
      </c>
      <c r="E22" s="121">
        <v>9539.5338224999996</v>
      </c>
      <c r="F22" s="121">
        <v>9657.1973451318754</v>
      </c>
      <c r="G22" s="121">
        <v>9776.8268507350695</v>
      </c>
      <c r="H22" s="121">
        <v>9898.4490330982862</v>
      </c>
      <c r="I22" s="121">
        <v>10022.091002788213</v>
      </c>
      <c r="J22" s="121">
        <v>10147.780293066549</v>
      </c>
      <c r="K22" s="121">
        <v>10275.544865896616</v>
      </c>
      <c r="L22" s="122">
        <v>10405.413118040857</v>
      </c>
    </row>
    <row r="23" spans="1:12" x14ac:dyDescent="0.25">
      <c r="A23" s="113" t="s">
        <v>75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2">
        <v>0</v>
      </c>
    </row>
    <row r="24" spans="1:12" x14ac:dyDescent="0.25">
      <c r="A24" s="116" t="s">
        <v>52</v>
      </c>
      <c r="B24" s="121">
        <v>0</v>
      </c>
      <c r="C24" s="121">
        <v>9310</v>
      </c>
      <c r="D24" s="121">
        <v>9423.8100000000013</v>
      </c>
      <c r="E24" s="121">
        <v>9539.5338224999996</v>
      </c>
      <c r="F24" s="121">
        <v>9657.1973451318754</v>
      </c>
      <c r="G24" s="121">
        <v>9776.8268507350695</v>
      </c>
      <c r="H24" s="121">
        <v>9898.4490330982862</v>
      </c>
      <c r="I24" s="121">
        <v>10022.091002788213</v>
      </c>
      <c r="J24" s="121">
        <v>10147.780293066549</v>
      </c>
      <c r="K24" s="121">
        <v>10275.544865896616</v>
      </c>
      <c r="L24" s="122">
        <v>10405.413118040857</v>
      </c>
    </row>
    <row r="25" spans="1:12" x14ac:dyDescent="0.25">
      <c r="A25" s="117" t="s">
        <v>173</v>
      </c>
      <c r="B25" s="121">
        <v>0</v>
      </c>
      <c r="C25" s="121">
        <v>3790</v>
      </c>
      <c r="D25" s="121">
        <v>3848.3100000000013</v>
      </c>
      <c r="E25" s="121">
        <v>3907.1463224999998</v>
      </c>
      <c r="F25" s="121">
        <v>1194.5001576318755</v>
      </c>
      <c r="G25" s="121">
        <v>1369.8622335475684</v>
      </c>
      <c r="H25" s="121">
        <v>1545.7228004810986</v>
      </c>
      <c r="I25" s="121">
        <v>1722.0716143555946</v>
      </c>
      <c r="J25" s="121">
        <v>1898.8979199231162</v>
      </c>
      <c r="K25" s="121">
        <v>2076.1904334245974</v>
      </c>
      <c r="L25" s="122">
        <v>-4544.0626752429616</v>
      </c>
    </row>
    <row r="26" spans="1:12" ht="15.75" thickBot="1" x14ac:dyDescent="0.3">
      <c r="A26" s="118" t="s">
        <v>214</v>
      </c>
      <c r="B26" s="123">
        <v>0</v>
      </c>
      <c r="C26" s="123">
        <v>7090</v>
      </c>
      <c r="D26" s="123">
        <v>10938.310000000001</v>
      </c>
      <c r="E26" s="123">
        <v>14845.456322500002</v>
      </c>
      <c r="F26" s="123">
        <v>16039.956480131877</v>
      </c>
      <c r="G26" s="123">
        <v>17409.818713679444</v>
      </c>
      <c r="H26" s="123">
        <v>18955.541514160541</v>
      </c>
      <c r="I26" s="123">
        <v>20677.613128516135</v>
      </c>
      <c r="J26" s="123">
        <v>22576.51104843925</v>
      </c>
      <c r="K26" s="123">
        <v>24652.701481863849</v>
      </c>
      <c r="L26" s="124">
        <v>20108.638806620889</v>
      </c>
    </row>
    <row r="28" spans="1:12" ht="15.75" thickBot="1" x14ac:dyDescent="0.3"/>
    <row r="29" spans="1:12" x14ac:dyDescent="0.25">
      <c r="A29" s="107" t="s">
        <v>228</v>
      </c>
      <c r="B29" s="108" t="s">
        <v>237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9"/>
    </row>
    <row r="30" spans="1:12" x14ac:dyDescent="0.25">
      <c r="A30" s="110"/>
      <c r="B30" s="111">
        <v>0</v>
      </c>
      <c r="C30" s="111">
        <v>1</v>
      </c>
      <c r="D30" s="111">
        <v>2</v>
      </c>
      <c r="E30" s="111">
        <v>3</v>
      </c>
      <c r="F30" s="111">
        <v>4</v>
      </c>
      <c r="G30" s="111">
        <v>5</v>
      </c>
      <c r="H30" s="111">
        <v>6</v>
      </c>
      <c r="I30" s="111">
        <v>7</v>
      </c>
      <c r="J30" s="111">
        <v>8</v>
      </c>
      <c r="K30" s="111">
        <v>9</v>
      </c>
      <c r="L30" s="112">
        <v>10</v>
      </c>
    </row>
    <row r="31" spans="1:12" x14ac:dyDescent="0.25">
      <c r="A31" s="113" t="s">
        <v>51</v>
      </c>
      <c r="B31" s="121">
        <v>0</v>
      </c>
      <c r="C31" s="121">
        <v>9310</v>
      </c>
      <c r="D31" s="121">
        <v>9423.8100000000013</v>
      </c>
      <c r="E31" s="121">
        <v>9539.5338224999996</v>
      </c>
      <c r="F31" s="121">
        <v>9657.1973451318754</v>
      </c>
      <c r="G31" s="121">
        <v>9776.8268507350695</v>
      </c>
      <c r="H31" s="121">
        <v>9898.4490330982862</v>
      </c>
      <c r="I31" s="121">
        <v>10022.091002788213</v>
      </c>
      <c r="J31" s="121">
        <v>10147.780293066549</v>
      </c>
      <c r="K31" s="121">
        <v>10275.544865896616</v>
      </c>
      <c r="L31" s="122">
        <v>10405.413118040857</v>
      </c>
    </row>
    <row r="32" spans="1:12" x14ac:dyDescent="0.25">
      <c r="A32" s="113" t="s">
        <v>75</v>
      </c>
      <c r="B32" s="121">
        <v>0</v>
      </c>
      <c r="C32" s="121">
        <v>1166.6666666666667</v>
      </c>
      <c r="D32" s="121">
        <v>1315.4166666666667</v>
      </c>
      <c r="E32" s="121">
        <v>1483.1322916666668</v>
      </c>
      <c r="F32" s="121">
        <v>1672.2316588541669</v>
      </c>
      <c r="G32" s="121">
        <v>1885.4411953580732</v>
      </c>
      <c r="H32" s="121">
        <v>2125.8349477662277</v>
      </c>
      <c r="I32" s="121">
        <v>2396.8789036064213</v>
      </c>
      <c r="J32" s="121">
        <v>2702.4809638162401</v>
      </c>
      <c r="K32" s="121">
        <v>3047.0472867028107</v>
      </c>
      <c r="L32" s="122">
        <v>3435.5458157574189</v>
      </c>
    </row>
    <row r="33" spans="1:12" x14ac:dyDescent="0.25">
      <c r="A33" s="116" t="s">
        <v>52</v>
      </c>
      <c r="B33" s="121">
        <v>0</v>
      </c>
      <c r="C33" s="121">
        <v>10476.666666666666</v>
      </c>
      <c r="D33" s="121">
        <v>10739.226666666667</v>
      </c>
      <c r="E33" s="121">
        <v>11022.666114166666</v>
      </c>
      <c r="F33" s="121">
        <v>11329.429003986043</v>
      </c>
      <c r="G33" s="121">
        <v>11662.268046093142</v>
      </c>
      <c r="H33" s="121">
        <v>12024.283980864515</v>
      </c>
      <c r="I33" s="121">
        <v>12418.969906394634</v>
      </c>
      <c r="J33" s="121">
        <v>12850.26125688279</v>
      </c>
      <c r="K33" s="121">
        <v>13322.592152599427</v>
      </c>
      <c r="L33" s="122">
        <v>13840.958933798276</v>
      </c>
    </row>
    <row r="34" spans="1:12" x14ac:dyDescent="0.25">
      <c r="A34" s="117" t="s">
        <v>173</v>
      </c>
      <c r="B34" s="121">
        <v>0</v>
      </c>
      <c r="C34" s="121">
        <v>3745.6666666666661</v>
      </c>
      <c r="D34" s="121">
        <v>3840.0266666666676</v>
      </c>
      <c r="E34" s="121">
        <v>3939.6633641666667</v>
      </c>
      <c r="F34" s="121">
        <v>715.84902211104236</v>
      </c>
      <c r="G34" s="121">
        <v>947.86616824782868</v>
      </c>
      <c r="H34" s="121">
        <v>1187.2480258556434</v>
      </c>
      <c r="I34" s="121">
        <v>1434.8802913653926</v>
      </c>
      <c r="J34" s="121">
        <v>1691.7644321916632</v>
      </c>
      <c r="K34" s="121">
        <v>1959.0327003413859</v>
      </c>
      <c r="L34" s="122">
        <v>-6310.0349175268857</v>
      </c>
    </row>
    <row r="35" spans="1:12" ht="15.75" thickBot="1" x14ac:dyDescent="0.3">
      <c r="A35" s="118" t="s">
        <v>214</v>
      </c>
      <c r="B35" s="123">
        <v>0</v>
      </c>
      <c r="C35" s="123">
        <v>7360.6666666666661</v>
      </c>
      <c r="D35" s="123">
        <v>11389.693333333333</v>
      </c>
      <c r="E35" s="123">
        <v>15518.356697499999</v>
      </c>
      <c r="F35" s="123">
        <v>16423.20571961104</v>
      </c>
      <c r="G35" s="123">
        <v>17560.071887858867</v>
      </c>
      <c r="H35" s="123">
        <v>18936.319913714509</v>
      </c>
      <c r="I35" s="123">
        <v>20560.200205079902</v>
      </c>
      <c r="J35" s="123">
        <v>22440.964637271565</v>
      </c>
      <c r="K35" s="123">
        <v>24588.997337612949</v>
      </c>
      <c r="L35" s="124">
        <v>18467.962420086064</v>
      </c>
    </row>
    <row r="36" spans="1:12" ht="15.75" thickBot="1" x14ac:dyDescent="0.3"/>
    <row r="37" spans="1:12" x14ac:dyDescent="0.25">
      <c r="A37" s="107" t="s">
        <v>229</v>
      </c>
      <c r="B37" s="108" t="s">
        <v>227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2" x14ac:dyDescent="0.25">
      <c r="A38" s="110" t="s">
        <v>41</v>
      </c>
      <c r="B38" s="111">
        <v>0</v>
      </c>
      <c r="C38" s="111">
        <v>1</v>
      </c>
      <c r="D38" s="111">
        <v>2</v>
      </c>
      <c r="E38" s="111">
        <v>3</v>
      </c>
      <c r="F38" s="111">
        <v>4</v>
      </c>
      <c r="G38" s="111">
        <v>5</v>
      </c>
      <c r="H38" s="111">
        <v>6</v>
      </c>
      <c r="I38" s="111">
        <v>7</v>
      </c>
      <c r="J38" s="111">
        <v>8</v>
      </c>
      <c r="K38" s="111">
        <v>9</v>
      </c>
      <c r="L38" s="112">
        <v>10</v>
      </c>
    </row>
    <row r="39" spans="1:12" x14ac:dyDescent="0.25">
      <c r="A39" s="113" t="s">
        <v>51</v>
      </c>
      <c r="B39" s="121">
        <v>0</v>
      </c>
      <c r="C39" s="121">
        <v>9170</v>
      </c>
      <c r="D39" s="121">
        <v>9269.8100000000013</v>
      </c>
      <c r="E39" s="121">
        <v>9370.1338225</v>
      </c>
      <c r="F39" s="121">
        <v>9470.8573451318753</v>
      </c>
      <c r="G39" s="121">
        <v>9571.8528507350711</v>
      </c>
      <c r="H39" s="121">
        <v>9672.9776330982859</v>
      </c>
      <c r="I39" s="121">
        <v>9774.0724627882137</v>
      </c>
      <c r="J39" s="121">
        <v>9874.959899066549</v>
      </c>
      <c r="K39" s="121">
        <v>9975.4424324966167</v>
      </c>
      <c r="L39" s="122">
        <v>10075.300441300857</v>
      </c>
    </row>
    <row r="40" spans="1:12" x14ac:dyDescent="0.25">
      <c r="A40" s="113" t="s">
        <v>75</v>
      </c>
      <c r="B40" s="121">
        <v>0</v>
      </c>
      <c r="C40" s="121">
        <v>1166.6666666666667</v>
      </c>
      <c r="D40" s="121">
        <v>1315.4166666666667</v>
      </c>
      <c r="E40" s="121">
        <v>1483.1322916666668</v>
      </c>
      <c r="F40" s="121">
        <v>1672.2316588541669</v>
      </c>
      <c r="G40" s="121">
        <v>1885.4411953580732</v>
      </c>
      <c r="H40" s="121">
        <v>2125.8349477662277</v>
      </c>
      <c r="I40" s="121">
        <v>2396.8789036064213</v>
      </c>
      <c r="J40" s="121">
        <v>2702.4809638162401</v>
      </c>
      <c r="K40" s="121">
        <v>3047.0472867028107</v>
      </c>
      <c r="L40" s="122">
        <v>3435.5458157574189</v>
      </c>
    </row>
    <row r="41" spans="1:12" x14ac:dyDescent="0.25">
      <c r="A41" s="116" t="s">
        <v>52</v>
      </c>
      <c r="B41" s="121">
        <v>0</v>
      </c>
      <c r="C41" s="121">
        <v>10336.666666666666</v>
      </c>
      <c r="D41" s="121">
        <v>10585.226666666667</v>
      </c>
      <c r="E41" s="121">
        <v>10853.266114166667</v>
      </c>
      <c r="F41" s="121">
        <v>11143.089003986042</v>
      </c>
      <c r="G41" s="121">
        <v>11457.294046093144</v>
      </c>
      <c r="H41" s="121">
        <v>11798.812580864513</v>
      </c>
      <c r="I41" s="121">
        <v>12170.951366394635</v>
      </c>
      <c r="J41" s="121">
        <v>12577.44086288279</v>
      </c>
      <c r="K41" s="121">
        <v>13022.489719199428</v>
      </c>
      <c r="L41" s="122">
        <v>13510.846257058276</v>
      </c>
    </row>
    <row r="42" spans="1:12" x14ac:dyDescent="0.25">
      <c r="A42" s="117" t="s">
        <v>173</v>
      </c>
      <c r="B42" s="121">
        <v>0</v>
      </c>
      <c r="C42" s="121">
        <v>3717.6666666666661</v>
      </c>
      <c r="D42" s="121">
        <v>3812.3066666666673</v>
      </c>
      <c r="E42" s="121">
        <v>3912.6440641666668</v>
      </c>
      <c r="F42" s="121">
        <v>690.04326136104191</v>
      </c>
      <c r="G42" s="121">
        <v>923.89452300220546</v>
      </c>
      <c r="H42" s="121">
        <v>1165.856780841199</v>
      </c>
      <c r="I42" s="121">
        <v>1416.9621261116099</v>
      </c>
      <c r="J42" s="121">
        <v>1678.3822107180222</v>
      </c>
      <c r="K42" s="121">
        <v>1951.4468064648554</v>
      </c>
      <c r="L42" s="122">
        <v>-6310.3351959541706</v>
      </c>
    </row>
    <row r="43" spans="1:12" ht="15.75" thickBot="1" x14ac:dyDescent="0.3">
      <c r="A43" s="118" t="s">
        <v>214</v>
      </c>
      <c r="B43" s="123">
        <v>0</v>
      </c>
      <c r="C43" s="123">
        <v>7332.6666666666661</v>
      </c>
      <c r="D43" s="123">
        <v>11333.973333333333</v>
      </c>
      <c r="E43" s="123">
        <v>15435.617397499998</v>
      </c>
      <c r="F43" s="123">
        <v>16314.660658861041</v>
      </c>
      <c r="G43" s="123">
        <v>17427.555181863245</v>
      </c>
      <c r="H43" s="123">
        <v>18782.411962704442</v>
      </c>
      <c r="I43" s="123">
        <v>20388.374088816054</v>
      </c>
      <c r="J43" s="123">
        <v>22255.756299534078</v>
      </c>
      <c r="K43" s="123">
        <v>24396.203105998931</v>
      </c>
      <c r="L43" s="124">
        <v>18274.867910044763</v>
      </c>
    </row>
    <row r="44" spans="1:12" ht="15.75" thickBot="1" x14ac:dyDescent="0.3"/>
    <row r="45" spans="1:12" x14ac:dyDescent="0.25">
      <c r="A45" s="107" t="s">
        <v>232</v>
      </c>
      <c r="B45" s="108" t="s">
        <v>241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x14ac:dyDescent="0.25">
      <c r="A46" s="110" t="s">
        <v>41</v>
      </c>
      <c r="B46" s="111">
        <v>0</v>
      </c>
      <c r="C46" s="111">
        <v>1</v>
      </c>
      <c r="D46" s="111">
        <v>2</v>
      </c>
      <c r="E46" s="111">
        <v>3</v>
      </c>
      <c r="F46" s="111">
        <v>4</v>
      </c>
      <c r="G46" s="111">
        <v>5</v>
      </c>
      <c r="H46" s="111">
        <v>6</v>
      </c>
      <c r="I46" s="111">
        <v>7</v>
      </c>
      <c r="J46" s="111">
        <v>8</v>
      </c>
      <c r="K46" s="111">
        <v>9</v>
      </c>
      <c r="L46" s="112">
        <v>10</v>
      </c>
    </row>
    <row r="47" spans="1:12" x14ac:dyDescent="0.25">
      <c r="A47" s="113" t="s">
        <v>51</v>
      </c>
      <c r="B47" s="121">
        <v>0</v>
      </c>
      <c r="C47" s="121">
        <v>9030</v>
      </c>
      <c r="D47" s="121">
        <v>9115.8100000000013</v>
      </c>
      <c r="E47" s="121">
        <v>9200.7338225000003</v>
      </c>
      <c r="F47" s="121">
        <v>9284.5173451318751</v>
      </c>
      <c r="G47" s="121">
        <v>9366.878850735071</v>
      </c>
      <c r="H47" s="121">
        <v>9447.5062330982855</v>
      </c>
      <c r="I47" s="121">
        <v>9526.0539227882127</v>
      </c>
      <c r="J47" s="121">
        <v>9602.1395050665487</v>
      </c>
      <c r="K47" s="121">
        <v>9675.3399990966172</v>
      </c>
      <c r="L47" s="122">
        <v>9745.1877645608565</v>
      </c>
    </row>
    <row r="48" spans="1:12" x14ac:dyDescent="0.25">
      <c r="A48" s="113" t="s">
        <v>75</v>
      </c>
      <c r="B48" s="121">
        <v>0</v>
      </c>
      <c r="C48" s="121">
        <v>2333.3333333333335</v>
      </c>
      <c r="D48" s="121">
        <v>2630.8333333333335</v>
      </c>
      <c r="E48" s="121">
        <v>2966.2645833333336</v>
      </c>
      <c r="F48" s="121">
        <v>3344.4633177083338</v>
      </c>
      <c r="G48" s="121">
        <v>3770.8823907161463</v>
      </c>
      <c r="H48" s="121">
        <v>4251.6698955324555</v>
      </c>
      <c r="I48" s="121">
        <v>4793.7578072128426</v>
      </c>
      <c r="J48" s="121">
        <v>5404.9619276324802</v>
      </c>
      <c r="K48" s="121">
        <v>6094.0945734056213</v>
      </c>
      <c r="L48" s="122">
        <v>6871.0916315148379</v>
      </c>
    </row>
    <row r="49" spans="1:12" x14ac:dyDescent="0.25">
      <c r="A49" s="116" t="s">
        <v>52</v>
      </c>
      <c r="B49" s="121">
        <v>0</v>
      </c>
      <c r="C49" s="121">
        <v>11363.333333333334</v>
      </c>
      <c r="D49" s="121">
        <v>11746.643333333335</v>
      </c>
      <c r="E49" s="121">
        <v>12166.998405833334</v>
      </c>
      <c r="F49" s="121">
        <v>12628.980662840209</v>
      </c>
      <c r="G49" s="121">
        <v>13137.761241451217</v>
      </c>
      <c r="H49" s="121">
        <v>13699.176128630741</v>
      </c>
      <c r="I49" s="121">
        <v>14319.811730001056</v>
      </c>
      <c r="J49" s="121">
        <v>15007.10143269903</v>
      </c>
      <c r="K49" s="121">
        <v>15769.434572502239</v>
      </c>
      <c r="L49" s="122">
        <v>16616.279396075694</v>
      </c>
    </row>
    <row r="50" spans="1:12" x14ac:dyDescent="0.25">
      <c r="A50" s="117" t="s">
        <v>173</v>
      </c>
      <c r="B50" s="121">
        <v>0</v>
      </c>
      <c r="C50" s="121">
        <v>3960.3333333333339</v>
      </c>
      <c r="D50" s="121">
        <v>4091.3033333333351</v>
      </c>
      <c r="E50" s="121">
        <v>4233.1418058333338</v>
      </c>
      <c r="F50" s="121">
        <v>1057.9263650902085</v>
      </c>
      <c r="G50" s="121">
        <v>1345.856812456841</v>
      </c>
      <c r="H50" s="121">
        <v>1649.5107612013016</v>
      </c>
      <c r="I50" s="121">
        <v>1970.9626378676257</v>
      </c>
      <c r="J50" s="121">
        <v>2312.5665015129289</v>
      </c>
      <c r="K50" s="121">
        <v>2676.9931795051143</v>
      </c>
      <c r="L50" s="122">
        <v>-5480.7277166653839</v>
      </c>
    </row>
    <row r="51" spans="1:12" ht="15.75" thickBot="1" x14ac:dyDescent="0.3">
      <c r="A51" s="118" t="s">
        <v>214</v>
      </c>
      <c r="B51" s="123">
        <v>0</v>
      </c>
      <c r="C51" s="123">
        <v>7575.3333333333339</v>
      </c>
      <c r="D51" s="123">
        <v>11855.636666666669</v>
      </c>
      <c r="E51" s="123">
        <v>16277.778472500002</v>
      </c>
      <c r="F51" s="123">
        <v>17524.704837590209</v>
      </c>
      <c r="G51" s="123">
        <v>19059.56165004705</v>
      </c>
      <c r="H51" s="123">
        <v>20898.072411248351</v>
      </c>
      <c r="I51" s="123">
        <v>23058.035049115977</v>
      </c>
      <c r="J51" s="123">
        <v>25559.601550628904</v>
      </c>
      <c r="K51" s="123">
        <v>28425.59473013402</v>
      </c>
      <c r="L51" s="124">
        <v>23133.867013468636</v>
      </c>
    </row>
    <row r="52" spans="1:12" ht="15.75" thickBot="1" x14ac:dyDescent="0.3"/>
    <row r="53" spans="1:12" x14ac:dyDescent="0.25">
      <c r="A53" s="107" t="s">
        <v>242</v>
      </c>
      <c r="B53" s="108" t="s">
        <v>233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9"/>
    </row>
    <row r="54" spans="1:12" x14ac:dyDescent="0.25">
      <c r="A54" s="110" t="s">
        <v>41</v>
      </c>
      <c r="B54" s="111">
        <v>0</v>
      </c>
      <c r="C54" s="111">
        <v>1</v>
      </c>
      <c r="D54" s="111">
        <v>2</v>
      </c>
      <c r="E54" s="111">
        <v>3</v>
      </c>
      <c r="F54" s="111">
        <v>4</v>
      </c>
      <c r="G54" s="111">
        <v>5</v>
      </c>
      <c r="H54" s="111">
        <v>6</v>
      </c>
      <c r="I54" s="111">
        <v>7</v>
      </c>
      <c r="J54" s="111">
        <v>8</v>
      </c>
      <c r="K54" s="111">
        <v>9</v>
      </c>
      <c r="L54" s="112">
        <v>10</v>
      </c>
    </row>
    <row r="55" spans="1:12" x14ac:dyDescent="0.25">
      <c r="A55" s="113" t="s">
        <v>51</v>
      </c>
      <c r="B55" s="121">
        <v>0</v>
      </c>
      <c r="C55" s="121">
        <v>8750</v>
      </c>
      <c r="D55" s="121">
        <v>8807.8100000000013</v>
      </c>
      <c r="E55" s="121">
        <v>8861.9338224999992</v>
      </c>
      <c r="F55" s="121">
        <v>8911.8373451318748</v>
      </c>
      <c r="G55" s="121">
        <v>8956.9308507350706</v>
      </c>
      <c r="H55" s="121">
        <v>8996.5634330982866</v>
      </c>
      <c r="I55" s="121">
        <v>9030.0168427882127</v>
      </c>
      <c r="J55" s="121">
        <v>9056.4987170665481</v>
      </c>
      <c r="K55" s="121">
        <v>9075.1351322966166</v>
      </c>
      <c r="L55" s="122">
        <v>9084.9624110808563</v>
      </c>
    </row>
    <row r="56" spans="1:12" x14ac:dyDescent="0.25">
      <c r="A56" s="113" t="s">
        <v>75</v>
      </c>
      <c r="B56" s="121">
        <v>0</v>
      </c>
      <c r="C56" s="121">
        <v>4666.666666666667</v>
      </c>
      <c r="D56" s="121">
        <v>5261.666666666667</v>
      </c>
      <c r="E56" s="121">
        <v>5932.5291666666672</v>
      </c>
      <c r="F56" s="121">
        <v>6688.9266354166675</v>
      </c>
      <c r="G56" s="121">
        <v>7541.7647814322927</v>
      </c>
      <c r="H56" s="121">
        <v>8503.339791064911</v>
      </c>
      <c r="I56" s="121">
        <v>9587.5156144256853</v>
      </c>
      <c r="J56" s="121">
        <v>10809.92385526496</v>
      </c>
      <c r="K56" s="121">
        <v>12188.189146811243</v>
      </c>
      <c r="L56" s="122">
        <v>13742.183263029676</v>
      </c>
    </row>
    <row r="57" spans="1:12" x14ac:dyDescent="0.25">
      <c r="A57" s="116" t="s">
        <v>52</v>
      </c>
      <c r="B57" s="121">
        <v>0</v>
      </c>
      <c r="C57" s="121">
        <v>13416.666666666668</v>
      </c>
      <c r="D57" s="121">
        <v>14069.476666666669</v>
      </c>
      <c r="E57" s="121">
        <v>14794.462989166666</v>
      </c>
      <c r="F57" s="121">
        <v>15600.763980548541</v>
      </c>
      <c r="G57" s="121">
        <v>16498.695632167364</v>
      </c>
      <c r="H57" s="121">
        <v>17499.903224163198</v>
      </c>
      <c r="I57" s="121">
        <v>18617.5324572139</v>
      </c>
      <c r="J57" s="121">
        <v>19866.42257233151</v>
      </c>
      <c r="K57" s="121">
        <v>21263.324279107859</v>
      </c>
      <c r="L57" s="122">
        <v>22827.145674110532</v>
      </c>
    </row>
    <row r="58" spans="1:12" x14ac:dyDescent="0.25">
      <c r="A58" s="117" t="s">
        <v>173</v>
      </c>
      <c r="B58" s="121">
        <v>0</v>
      </c>
      <c r="C58" s="121">
        <v>4130.6666666666679</v>
      </c>
      <c r="D58" s="121">
        <v>4334.2966666666689</v>
      </c>
      <c r="E58" s="121">
        <v>4559.1372891666651</v>
      </c>
      <c r="F58" s="121">
        <v>921.3525725485415</v>
      </c>
      <c r="G58" s="121">
        <v>1321.8513913661136</v>
      </c>
      <c r="H58" s="121">
        <v>1753.2987219215047</v>
      </c>
      <c r="I58" s="121">
        <v>2219.8536613796532</v>
      </c>
      <c r="J58" s="121">
        <v>2726.2350831027416</v>
      </c>
      <c r="K58" s="121">
        <v>3277.7959255856258</v>
      </c>
      <c r="L58" s="122">
        <v>-6417.3927580878044</v>
      </c>
    </row>
    <row r="59" spans="1:12" ht="15.75" thickBot="1" x14ac:dyDescent="0.3">
      <c r="A59" s="118" t="s">
        <v>214</v>
      </c>
      <c r="B59" s="123">
        <v>0</v>
      </c>
      <c r="C59" s="123">
        <v>8060.6666666666679</v>
      </c>
      <c r="D59" s="123">
        <v>12772.963333333337</v>
      </c>
      <c r="E59" s="123">
        <v>17710.100622500002</v>
      </c>
      <c r="F59" s="123">
        <v>19009.453195048543</v>
      </c>
      <c r="G59" s="123">
        <v>20709.304586414655</v>
      </c>
      <c r="H59" s="123">
        <v>22840.603308336162</v>
      </c>
      <c r="I59" s="123">
        <v>25438.456969715815</v>
      </c>
      <c r="J59" s="123">
        <v>28542.692052818558</v>
      </c>
      <c r="K59" s="123">
        <v>32198.487978404184</v>
      </c>
      <c r="L59" s="124">
        <v>26159.09522031638</v>
      </c>
    </row>
    <row r="65" spans="1:12" x14ac:dyDescent="0.25">
      <c r="A65" s="10"/>
    </row>
    <row r="66" spans="1:12" x14ac:dyDescent="0.2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x14ac:dyDescent="0.25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x14ac:dyDescent="0.25">
      <c r="A69" s="33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Assumptions &amp; notes</vt:lpstr>
      <vt:lpstr>INPUTS</vt:lpstr>
      <vt:lpstr>P&amp;L CF forecast</vt:lpstr>
      <vt:lpstr>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Noeleen Keane</dc:creator>
  <cp:lastModifiedBy>Noeleen Keane</cp:lastModifiedBy>
  <dcterms:created xsi:type="dcterms:W3CDTF">2021-05-21T14:04:37Z</dcterms:created>
  <dcterms:modified xsi:type="dcterms:W3CDTF">2022-05-27T16:40:36Z</dcterms:modified>
</cp:coreProperties>
</file>